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l273\OneDrive - University of Exeter\Literature\ReefBudget_sheets\FINAL2\"/>
    </mc:Choice>
  </mc:AlternateContent>
  <bookViews>
    <workbookView xWindow="0" yWindow="0" windowWidth="14960" windowHeight="13980"/>
  </bookViews>
  <sheets>
    <sheet name="Notes" sheetId="6" r:id="rId1"/>
    <sheet name="Bite rates" sheetId="1" r:id="rId2"/>
    <sheet name="Scar volume" sheetId="3" r:id="rId3"/>
    <sheet name="Proportion leaving scars" sheetId="4" r:id="rId4"/>
    <sheet name="Equations" sheetId="7" r:id="rId5"/>
  </sheets>
  <externalReferences>
    <externalReference r:id="rId6"/>
  </externalReferences>
  <calcPr calcId="152511"/>
</workbook>
</file>

<file path=xl/calcChain.xml><?xml version="1.0" encoding="utf-8"?>
<calcChain xmlns="http://schemas.openxmlformats.org/spreadsheetml/2006/main">
  <c r="H23" i="4" l="1"/>
  <c r="D25" i="4"/>
  <c r="E25" i="4"/>
  <c r="F25" i="4"/>
  <c r="G25" i="4"/>
  <c r="H25" i="4"/>
  <c r="I25" i="4"/>
  <c r="J25" i="4"/>
  <c r="C25" i="4"/>
  <c r="D24" i="4"/>
  <c r="E24" i="4"/>
  <c r="F24" i="4"/>
  <c r="G24" i="4"/>
  <c r="H24" i="4"/>
  <c r="I24" i="4"/>
  <c r="J24" i="4"/>
  <c r="C24" i="4"/>
  <c r="V44" i="7" l="1"/>
  <c r="V56" i="7" s="1"/>
  <c r="K68" i="7" s="1"/>
  <c r="V68" i="7" s="1"/>
  <c r="K14" i="7" s="1"/>
  <c r="V35" i="7" s="1"/>
  <c r="V47" i="7" s="1"/>
  <c r="K59" i="7" s="1"/>
  <c r="V59" i="7" s="1"/>
  <c r="K5" i="7" s="1"/>
  <c r="P44" i="7"/>
  <c r="P56" i="7" s="1"/>
  <c r="E68" i="7" s="1"/>
  <c r="P68" i="7" s="1"/>
  <c r="E14" i="7" s="1"/>
  <c r="U40" i="7"/>
  <c r="U52" i="7" s="1"/>
  <c r="J64" i="7" s="1"/>
  <c r="U64" i="7" s="1"/>
  <c r="J10" i="7" s="1"/>
  <c r="S41" i="7"/>
  <c r="S53" i="7" s="1"/>
  <c r="H65" i="7" s="1"/>
  <c r="S65" i="7" s="1"/>
  <c r="H11" i="7" s="1"/>
  <c r="O41" i="7"/>
  <c r="O53" i="7" s="1"/>
  <c r="D65" i="7" s="1"/>
  <c r="O65" i="7" s="1"/>
  <c r="D11" i="7" s="1"/>
  <c r="W44" i="7"/>
  <c r="W56" i="7" s="1"/>
  <c r="L68" i="7" s="1"/>
  <c r="W68" i="7" s="1"/>
  <c r="L14" i="7" s="1"/>
  <c r="W35" i="7" s="1"/>
  <c r="W47" i="7" s="1"/>
  <c r="L59" i="7" s="1"/>
  <c r="W59" i="7" s="1"/>
  <c r="L5" i="7" s="1"/>
  <c r="W39" i="7" s="1"/>
  <c r="W51" i="7" s="1"/>
  <c r="L63" i="7" s="1"/>
  <c r="W63" i="7" s="1"/>
  <c r="L9" i="7" s="1"/>
  <c r="T44" i="7"/>
  <c r="T56" i="7" s="1"/>
  <c r="I68" i="7" s="1"/>
  <c r="T68" i="7" s="1"/>
  <c r="I14" i="7" s="1"/>
  <c r="O44" i="7"/>
  <c r="O56" i="7" s="1"/>
  <c r="D68" i="7" s="1"/>
  <c r="O68" i="7" s="1"/>
  <c r="D14" i="7" s="1"/>
  <c r="S40" i="7"/>
  <c r="S52" i="7" s="1"/>
  <c r="H64" i="7" s="1"/>
  <c r="S64" i="7" s="1"/>
  <c r="H10" i="7" s="1"/>
  <c r="R35" i="7"/>
  <c r="R47" i="7" s="1"/>
  <c r="G59" i="7" s="1"/>
  <c r="R59" i="7" s="1"/>
  <c r="G5" i="7" s="1"/>
  <c r="U44" i="7"/>
  <c r="U56" i="7" s="1"/>
  <c r="J68" i="7" s="1"/>
  <c r="U68" i="7" s="1"/>
  <c r="J14" i="7" s="1"/>
  <c r="S44" i="7"/>
  <c r="S56" i="7" s="1"/>
  <c r="H68" i="7" s="1"/>
  <c r="S68" i="7" s="1"/>
  <c r="H14" i="7" s="1"/>
  <c r="R44" i="7"/>
  <c r="R56" i="7" s="1"/>
  <c r="G68" i="7" s="1"/>
  <c r="R68" i="7" s="1"/>
  <c r="G14" i="7" s="1"/>
  <c r="Q44" i="7"/>
  <c r="Q56" i="7" s="1"/>
  <c r="F68" i="7" s="1"/>
  <c r="Q68" i="7" s="1"/>
  <c r="F14" i="7" s="1"/>
  <c r="T41" i="7"/>
  <c r="T53" i="7" s="1"/>
  <c r="I65" i="7" s="1"/>
  <c r="T65" i="7" s="1"/>
  <c r="I11" i="7" s="1"/>
  <c r="Q41" i="7"/>
  <c r="Q53" i="7" s="1"/>
  <c r="F65" i="7" s="1"/>
  <c r="Q65" i="7" s="1"/>
  <c r="F11" i="7" s="1"/>
  <c r="P41" i="7"/>
  <c r="P53" i="7" s="1"/>
  <c r="E65" i="7" s="1"/>
  <c r="P65" i="7" s="1"/>
  <c r="E11" i="7" s="1"/>
  <c r="T40" i="7"/>
  <c r="T52" i="7" s="1"/>
  <c r="I64" i="7" s="1"/>
  <c r="T64" i="7" s="1"/>
  <c r="I10" i="7" s="1"/>
  <c r="Q40" i="7"/>
  <c r="Q52" i="7" s="1"/>
  <c r="F64" i="7" s="1"/>
  <c r="Q64" i="7" s="1"/>
  <c r="F10" i="7" s="1"/>
  <c r="P40" i="7"/>
  <c r="P52" i="7" s="1"/>
  <c r="E64" i="7" s="1"/>
  <c r="P64" i="7" s="1"/>
  <c r="E10" i="7" s="1"/>
  <c r="O40" i="7"/>
  <c r="O52" i="7" s="1"/>
  <c r="D64" i="7" s="1"/>
  <c r="O64" i="7" s="1"/>
  <c r="D10" i="7" s="1"/>
  <c r="R39" i="7" l="1"/>
  <c r="R51" i="7" s="1"/>
  <c r="G63" i="7" s="1"/>
  <c r="R63" i="7" s="1"/>
  <c r="G9" i="7" s="1"/>
  <c r="V39" i="7"/>
  <c r="V51" i="7" s="1"/>
  <c r="K63" i="7" s="1"/>
  <c r="V63" i="7" s="1"/>
  <c r="K9" i="7" s="1"/>
  <c r="O35" i="7"/>
  <c r="O47" i="7" s="1"/>
  <c r="D59" i="7" s="1"/>
  <c r="O59" i="7" s="1"/>
  <c r="D5" i="7" s="1"/>
  <c r="P35" i="7"/>
  <c r="P47" i="7" s="1"/>
  <c r="E59" i="7" s="1"/>
  <c r="P59" i="7" s="1"/>
  <c r="E5" i="7" s="1"/>
  <c r="Q35" i="7"/>
  <c r="Q47" i="7" s="1"/>
  <c r="F59" i="7" s="1"/>
  <c r="Q59" i="7" s="1"/>
  <c r="F5" i="7" s="1"/>
  <c r="T35" i="7"/>
  <c r="T47" i="7" s="1"/>
  <c r="I59" i="7" s="1"/>
  <c r="T59" i="7" s="1"/>
  <c r="I5" i="7" s="1"/>
  <c r="T39" i="7" s="1"/>
  <c r="T51" i="7" s="1"/>
  <c r="I63" i="7" s="1"/>
  <c r="T63" i="7" s="1"/>
  <c r="I9" i="7" s="1"/>
  <c r="S35" i="7"/>
  <c r="S47" i="7" s="1"/>
  <c r="H59" i="7" s="1"/>
  <c r="S59" i="7" s="1"/>
  <c r="H5" i="7" s="1"/>
  <c r="U41" i="7"/>
  <c r="U53" i="7" s="1"/>
  <c r="J65" i="7" s="1"/>
  <c r="U65" i="7" s="1"/>
  <c r="J11" i="7" s="1"/>
  <c r="V37" i="7" l="1"/>
  <c r="V49" i="7" s="1"/>
  <c r="K61" i="7" s="1"/>
  <c r="V61" i="7" s="1"/>
  <c r="K7" i="7" s="1"/>
  <c r="V38" i="7"/>
  <c r="V50" i="7" s="1"/>
  <c r="K62" i="7" s="1"/>
  <c r="V62" i="7" s="1"/>
  <c r="K8" i="7" s="1"/>
  <c r="T37" i="7"/>
  <c r="T49" i="7" s="1"/>
  <c r="I61" i="7" s="1"/>
  <c r="T61" i="7" s="1"/>
  <c r="I7" i="7" s="1"/>
  <c r="T38" i="7"/>
  <c r="T50" i="7" s="1"/>
  <c r="I62" i="7" s="1"/>
  <c r="T62" i="7" s="1"/>
  <c r="I8" i="7" s="1"/>
  <c r="R37" i="7"/>
  <c r="R49" i="7" s="1"/>
  <c r="G61" i="7" s="1"/>
  <c r="R61" i="7" s="1"/>
  <c r="G7" i="7" s="1"/>
  <c r="R38" i="7"/>
  <c r="R50" i="7" s="1"/>
  <c r="G62" i="7" s="1"/>
  <c r="R62" i="7" s="1"/>
  <c r="G8" i="7" s="1"/>
  <c r="P39" i="7"/>
  <c r="P51" i="7" s="1"/>
  <c r="E63" i="7" s="1"/>
  <c r="P63" i="7" s="1"/>
  <c r="E9" i="7" s="1"/>
  <c r="S39" i="7"/>
  <c r="S51" i="7" s="1"/>
  <c r="H63" i="7" s="1"/>
  <c r="S63" i="7" s="1"/>
  <c r="H9" i="7" s="1"/>
  <c r="O39" i="7"/>
  <c r="O51" i="7" s="1"/>
  <c r="D63" i="7" s="1"/>
  <c r="O63" i="7" s="1"/>
  <c r="D9" i="7" s="1"/>
  <c r="Q39" i="7"/>
  <c r="Q51" i="7" s="1"/>
  <c r="F63" i="7" s="1"/>
  <c r="Q63" i="7" s="1"/>
  <c r="F9" i="7" s="1"/>
  <c r="U35" i="7"/>
  <c r="U47" i="7" s="1"/>
  <c r="J59" i="7" s="1"/>
  <c r="U59" i="7" s="1"/>
  <c r="J5" i="7" s="1"/>
  <c r="Q37" i="7" l="1"/>
  <c r="Q49" i="7" s="1"/>
  <c r="F61" i="7" s="1"/>
  <c r="Q61" i="7" s="1"/>
  <c r="F7" i="7" s="1"/>
  <c r="Q38" i="7"/>
  <c r="Q50" i="7" s="1"/>
  <c r="F62" i="7" s="1"/>
  <c r="Q62" i="7" s="1"/>
  <c r="F8" i="7" s="1"/>
  <c r="S37" i="7"/>
  <c r="S49" i="7" s="1"/>
  <c r="H61" i="7" s="1"/>
  <c r="S61" i="7" s="1"/>
  <c r="H7" i="7" s="1"/>
  <c r="S38" i="7"/>
  <c r="S50" i="7" s="1"/>
  <c r="H62" i="7" s="1"/>
  <c r="S62" i="7" s="1"/>
  <c r="H8" i="7" s="1"/>
  <c r="O37" i="7"/>
  <c r="O49" i="7" s="1"/>
  <c r="D61" i="7" s="1"/>
  <c r="O61" i="7" s="1"/>
  <c r="D7" i="7" s="1"/>
  <c r="O38" i="7"/>
  <c r="O50" i="7" s="1"/>
  <c r="D62" i="7" s="1"/>
  <c r="O62" i="7" s="1"/>
  <c r="D8" i="7" s="1"/>
  <c r="P37" i="7"/>
  <c r="P49" i="7" s="1"/>
  <c r="E61" i="7" s="1"/>
  <c r="P61" i="7" s="1"/>
  <c r="E7" i="7" s="1"/>
  <c r="P38" i="7"/>
  <c r="P50" i="7" s="1"/>
  <c r="E62" i="7" s="1"/>
  <c r="P62" i="7" s="1"/>
  <c r="E8" i="7" s="1"/>
  <c r="U39" i="7"/>
  <c r="U51" i="7" s="1"/>
  <c r="J63" i="7" s="1"/>
  <c r="U63" i="7" s="1"/>
  <c r="J9" i="7" s="1"/>
  <c r="T36" i="7"/>
  <c r="T48" i="7" s="1"/>
  <c r="I60" i="7" s="1"/>
  <c r="T60" i="7" s="1"/>
  <c r="I6" i="7" s="1"/>
  <c r="C38" i="1"/>
  <c r="D38" i="1"/>
  <c r="E38" i="1"/>
  <c r="F38" i="1"/>
  <c r="G38" i="1"/>
  <c r="H38" i="1"/>
  <c r="C39" i="1"/>
  <c r="D39" i="1"/>
  <c r="E39" i="1"/>
  <c r="F39" i="1"/>
  <c r="G39" i="1"/>
  <c r="H39" i="1"/>
  <c r="C40" i="1"/>
  <c r="D40" i="1"/>
  <c r="E40" i="1"/>
  <c r="F40" i="1"/>
  <c r="G40" i="1"/>
  <c r="H40" i="1"/>
  <c r="C29" i="4"/>
  <c r="D29" i="4"/>
  <c r="E29" i="4"/>
  <c r="F29" i="4"/>
  <c r="G29" i="4"/>
  <c r="G23" i="4"/>
  <c r="C23" i="4"/>
  <c r="C30" i="4"/>
  <c r="D30" i="4"/>
  <c r="E30" i="4"/>
  <c r="F30" i="4"/>
  <c r="G30" i="4"/>
  <c r="H30" i="4"/>
  <c r="C31" i="4"/>
  <c r="D31" i="4"/>
  <c r="E31" i="4"/>
  <c r="F31" i="4"/>
  <c r="G31" i="4"/>
  <c r="H31" i="4"/>
  <c r="U37" i="7" l="1"/>
  <c r="U49" i="7" s="1"/>
  <c r="J61" i="7" s="1"/>
  <c r="U61" i="7" s="1"/>
  <c r="J7" i="7" s="1"/>
  <c r="U38" i="7"/>
  <c r="U50" i="7" s="1"/>
  <c r="J62" i="7" s="1"/>
  <c r="U62" i="7" s="1"/>
  <c r="J8" i="7" s="1"/>
  <c r="P36" i="7"/>
  <c r="P48" i="7" s="1"/>
  <c r="E60" i="7" s="1"/>
  <c r="P60" i="7" s="1"/>
  <c r="E6" i="7" s="1"/>
  <c r="O36" i="7"/>
  <c r="O48" i="7" s="1"/>
  <c r="D60" i="7" s="1"/>
  <c r="O60" i="7" s="1"/>
  <c r="D6" i="7" s="1"/>
  <c r="S36" i="7"/>
  <c r="S48" i="7" s="1"/>
  <c r="H60" i="7" s="1"/>
  <c r="S60" i="7" s="1"/>
  <c r="H6" i="7" s="1"/>
  <c r="P32" i="1"/>
  <c r="Q32" i="1"/>
  <c r="T32" i="1"/>
  <c r="U32" i="1"/>
  <c r="V32" i="1"/>
  <c r="V33" i="1"/>
  <c r="V34" i="1"/>
  <c r="Q36" i="1"/>
  <c r="U36" i="1"/>
  <c r="V36" i="1"/>
  <c r="Q37" i="1"/>
  <c r="U37" i="1"/>
  <c r="V37" i="1"/>
  <c r="N38" i="1"/>
  <c r="O38" i="1"/>
  <c r="P38" i="1"/>
  <c r="Q38" i="1"/>
  <c r="R38" i="1"/>
  <c r="S38" i="1"/>
  <c r="U38" i="1"/>
  <c r="V38" i="1"/>
  <c r="N39" i="1"/>
  <c r="O39" i="1"/>
  <c r="P39" i="1"/>
  <c r="Q39" i="1"/>
  <c r="R39" i="1"/>
  <c r="S39" i="1"/>
  <c r="U39" i="1"/>
  <c r="N40" i="1"/>
  <c r="O40" i="1"/>
  <c r="P40" i="1"/>
  <c r="Q40" i="1"/>
  <c r="R40" i="1"/>
  <c r="S40" i="1"/>
  <c r="V40" i="1"/>
  <c r="K6" i="1"/>
  <c r="D22" i="3"/>
  <c r="E22" i="3"/>
  <c r="C23" i="3"/>
  <c r="F23" i="3"/>
  <c r="C11" i="3"/>
  <c r="D11" i="3"/>
  <c r="D23" i="3" s="1"/>
  <c r="E11" i="3"/>
  <c r="E23" i="3" s="1"/>
  <c r="F11" i="3"/>
  <c r="G11" i="3"/>
  <c r="G23" i="3" s="1"/>
  <c r="H11" i="3"/>
  <c r="H23" i="3" s="1"/>
  <c r="C10" i="3"/>
  <c r="C22" i="3" s="1"/>
  <c r="D10" i="3"/>
  <c r="E10" i="3"/>
  <c r="F10" i="3"/>
  <c r="F22" i="3" s="1"/>
  <c r="G10" i="3"/>
  <c r="G22" i="3" s="1"/>
  <c r="D26" i="4"/>
  <c r="D27" i="4"/>
  <c r="D28" i="4"/>
  <c r="D23" i="4"/>
  <c r="J31" i="4"/>
  <c r="K31" i="4"/>
  <c r="I31" i="4"/>
  <c r="K26" i="4"/>
  <c r="K22" i="4"/>
  <c r="G28" i="4"/>
  <c r="I27" i="4"/>
  <c r="I28" i="4" s="1"/>
  <c r="H27" i="4"/>
  <c r="H28" i="4" s="1"/>
  <c r="G27" i="4"/>
  <c r="E27" i="4"/>
  <c r="E28" i="4" s="1"/>
  <c r="H29" i="4"/>
  <c r="I29" i="4"/>
  <c r="J29" i="4"/>
  <c r="K29" i="4"/>
  <c r="I30" i="4"/>
  <c r="J30" i="4"/>
  <c r="K30" i="4"/>
  <c r="C27" i="4"/>
  <c r="C28" i="4" s="1"/>
  <c r="E26" i="4"/>
  <c r="F26" i="4"/>
  <c r="G26" i="4"/>
  <c r="H26" i="4"/>
  <c r="I26" i="4"/>
  <c r="J26" i="4"/>
  <c r="C26" i="4"/>
  <c r="J22" i="4"/>
  <c r="D22" i="4"/>
  <c r="E22" i="4"/>
  <c r="F22" i="4"/>
  <c r="G22" i="4"/>
  <c r="H22" i="4"/>
  <c r="I22" i="4"/>
  <c r="C22" i="4"/>
  <c r="H10" i="3"/>
  <c r="H22" i="3" s="1"/>
  <c r="K7" i="3"/>
  <c r="K19" i="3" s="1"/>
  <c r="F6" i="3"/>
  <c r="F15" i="3" s="1"/>
  <c r="F7" i="3"/>
  <c r="F19" i="3" s="1"/>
  <c r="F12" i="1"/>
  <c r="F33" i="1" s="1"/>
  <c r="Q33" i="1" s="1"/>
  <c r="E12" i="1"/>
  <c r="E33" i="1"/>
  <c r="P33" i="1" s="1"/>
  <c r="H33" i="1"/>
  <c r="S33" i="1" s="1"/>
  <c r="I34" i="1"/>
  <c r="T34" i="1" s="1"/>
  <c r="J40" i="1"/>
  <c r="U40" i="1" s="1"/>
  <c r="K40" i="1"/>
  <c r="I40" i="1"/>
  <c r="T40" i="1" s="1"/>
  <c r="I39" i="1"/>
  <c r="T39" i="1" s="1"/>
  <c r="J39" i="1"/>
  <c r="K39" i="1"/>
  <c r="V39" i="1" s="1"/>
  <c r="I38" i="1"/>
  <c r="T38" i="1" s="1"/>
  <c r="J38" i="1"/>
  <c r="K38" i="1"/>
  <c r="I36" i="1"/>
  <c r="T36" i="1" s="1"/>
  <c r="J35" i="1"/>
  <c r="U35" i="1" s="1"/>
  <c r="H31" i="1"/>
  <c r="S31" i="1" s="1"/>
  <c r="J6" i="1"/>
  <c r="I6" i="1"/>
  <c r="I31" i="1" s="1"/>
  <c r="T31" i="1" s="1"/>
  <c r="H6" i="1"/>
  <c r="G6" i="1"/>
  <c r="E6" i="1"/>
  <c r="E31" i="1" s="1"/>
  <c r="P31" i="1" s="1"/>
  <c r="D6" i="1"/>
  <c r="D31" i="1" s="1"/>
  <c r="O31" i="1" s="1"/>
  <c r="C6" i="1"/>
  <c r="C31" i="1" s="1"/>
  <c r="N31" i="1" s="1"/>
  <c r="J7" i="1"/>
  <c r="I7" i="1"/>
  <c r="H7" i="1"/>
  <c r="G7" i="1"/>
  <c r="G35" i="1" s="1"/>
  <c r="R35" i="1" s="1"/>
  <c r="E7" i="1"/>
  <c r="E35" i="1" s="1"/>
  <c r="P35" i="1" s="1"/>
  <c r="D7" i="1"/>
  <c r="D35" i="1" s="1"/>
  <c r="O35" i="1" s="1"/>
  <c r="C7" i="1"/>
  <c r="C35" i="1" s="1"/>
  <c r="N35" i="1" s="1"/>
  <c r="G12" i="1"/>
  <c r="G33" i="1" s="1"/>
  <c r="R33" i="1" s="1"/>
  <c r="D7" i="3"/>
  <c r="D19" i="3" s="1"/>
  <c r="E7" i="3"/>
  <c r="E19" i="3" s="1"/>
  <c r="C7" i="3"/>
  <c r="C19" i="3" s="1"/>
  <c r="D6" i="3"/>
  <c r="D15" i="3" s="1"/>
  <c r="E6" i="3"/>
  <c r="E15" i="3" s="1"/>
  <c r="C6" i="3"/>
  <c r="C15" i="3" s="1"/>
  <c r="H7" i="3"/>
  <c r="H19" i="3" s="1"/>
  <c r="I7" i="3"/>
  <c r="I19" i="3" s="1"/>
  <c r="J7" i="3"/>
  <c r="J19" i="3" s="1"/>
  <c r="G7" i="3"/>
  <c r="G19" i="3" s="1"/>
  <c r="H6" i="3"/>
  <c r="H15" i="3" s="1"/>
  <c r="I6" i="3"/>
  <c r="I15" i="3" s="1"/>
  <c r="J6" i="3"/>
  <c r="J15" i="3" s="1"/>
  <c r="K6" i="3"/>
  <c r="K15" i="3" s="1"/>
  <c r="G6" i="3"/>
  <c r="G15" i="3" s="1"/>
  <c r="J11" i="3"/>
  <c r="J23" i="3" s="1"/>
  <c r="K11" i="3"/>
  <c r="K23" i="3" s="1"/>
  <c r="I11" i="3"/>
  <c r="I23" i="3" s="1"/>
  <c r="I10" i="3"/>
  <c r="I22" i="3" s="1"/>
  <c r="J10" i="3"/>
  <c r="J22" i="3" s="1"/>
  <c r="K10" i="3"/>
  <c r="K22" i="3" s="1"/>
  <c r="I16" i="1"/>
  <c r="I37" i="1" s="1"/>
  <c r="T37" i="1" s="1"/>
  <c r="H16" i="1"/>
  <c r="H37" i="1" s="1"/>
  <c r="S37" i="1" s="1"/>
  <c r="G16" i="1"/>
  <c r="G37" i="1" s="1"/>
  <c r="R37" i="1" s="1"/>
  <c r="E16" i="1"/>
  <c r="E37" i="1" s="1"/>
  <c r="P37" i="1" s="1"/>
  <c r="D16" i="1"/>
  <c r="D37" i="1" s="1"/>
  <c r="O37" i="1" s="1"/>
  <c r="C16" i="1"/>
  <c r="C37" i="1" s="1"/>
  <c r="N37" i="1" s="1"/>
  <c r="K14" i="1"/>
  <c r="K35" i="1" s="1"/>
  <c r="V35" i="1" s="1"/>
  <c r="J14" i="1"/>
  <c r="I14" i="1"/>
  <c r="I35" i="1" s="1"/>
  <c r="T35" i="1" s="1"/>
  <c r="H14" i="1"/>
  <c r="G14" i="1"/>
  <c r="F14" i="1"/>
  <c r="F35" i="1" s="1"/>
  <c r="Q35" i="1" s="1"/>
  <c r="E14" i="1"/>
  <c r="D14" i="1"/>
  <c r="C14" i="1"/>
  <c r="I15" i="1"/>
  <c r="H15" i="1"/>
  <c r="H36" i="1" s="1"/>
  <c r="S36" i="1" s="1"/>
  <c r="G15" i="1"/>
  <c r="G36" i="1" s="1"/>
  <c r="R36" i="1" s="1"/>
  <c r="E15" i="1"/>
  <c r="E36" i="1" s="1"/>
  <c r="P36" i="1" s="1"/>
  <c r="D15" i="1"/>
  <c r="D36" i="1" s="1"/>
  <c r="O36" i="1" s="1"/>
  <c r="C15" i="1"/>
  <c r="C36" i="1" s="1"/>
  <c r="N36" i="1" s="1"/>
  <c r="J13" i="1"/>
  <c r="J34" i="1" s="1"/>
  <c r="U34" i="1" s="1"/>
  <c r="I13" i="1"/>
  <c r="H13" i="1"/>
  <c r="H34" i="1" s="1"/>
  <c r="S34" i="1" s="1"/>
  <c r="G13" i="1"/>
  <c r="G34" i="1" s="1"/>
  <c r="R34" i="1" s="1"/>
  <c r="F13" i="1"/>
  <c r="F34" i="1" s="1"/>
  <c r="Q34" i="1" s="1"/>
  <c r="C13" i="1"/>
  <c r="C34" i="1" s="1"/>
  <c r="N34" i="1" s="1"/>
  <c r="E13" i="1"/>
  <c r="E34" i="1" s="1"/>
  <c r="P34" i="1" s="1"/>
  <c r="D13" i="1"/>
  <c r="D34" i="1" s="1"/>
  <c r="O34" i="1" s="1"/>
  <c r="J12" i="1"/>
  <c r="J33" i="1" s="1"/>
  <c r="U33" i="1" s="1"/>
  <c r="I12" i="1"/>
  <c r="I33" i="1" s="1"/>
  <c r="T33" i="1" s="1"/>
  <c r="H12" i="1"/>
  <c r="D12" i="1"/>
  <c r="D33" i="1" s="1"/>
  <c r="O33" i="1" s="1"/>
  <c r="C12" i="1"/>
  <c r="C33" i="1" s="1"/>
  <c r="N33" i="1" s="1"/>
  <c r="H11" i="1"/>
  <c r="H32" i="1" s="1"/>
  <c r="S32" i="1" s="1"/>
  <c r="G11" i="1"/>
  <c r="G32" i="1" s="1"/>
  <c r="R32" i="1" s="1"/>
  <c r="D11" i="1"/>
  <c r="D32" i="1" s="1"/>
  <c r="O32" i="1" s="1"/>
  <c r="C11" i="1"/>
  <c r="C32" i="1" s="1"/>
  <c r="N32" i="1" s="1"/>
  <c r="K10" i="1"/>
  <c r="J10" i="1"/>
  <c r="I10" i="1"/>
  <c r="G10" i="1"/>
  <c r="H10" i="1"/>
  <c r="F10" i="1"/>
  <c r="F31" i="1" s="1"/>
  <c r="Q31" i="1" s="1"/>
  <c r="E10" i="1"/>
  <c r="D10" i="1"/>
  <c r="C10" i="1"/>
  <c r="I21" i="3" l="1"/>
  <c r="I18" i="3"/>
  <c r="I17" i="3"/>
  <c r="F17" i="3"/>
  <c r="F18" i="3"/>
  <c r="D20" i="3"/>
  <c r="D18" i="3"/>
  <c r="D17" i="3"/>
  <c r="D16" i="3"/>
  <c r="G18" i="3"/>
  <c r="G17" i="3"/>
  <c r="G16" i="3"/>
  <c r="E18" i="3"/>
  <c r="E17" i="3"/>
  <c r="J17" i="3"/>
  <c r="J18" i="3"/>
  <c r="H17" i="3"/>
  <c r="H16" i="3"/>
  <c r="H18" i="3"/>
  <c r="C18" i="3"/>
  <c r="C17" i="3"/>
  <c r="C16" i="3"/>
  <c r="G31" i="1"/>
  <c r="R31" i="1" s="1"/>
  <c r="K31" i="1"/>
  <c r="V31" i="1" s="1"/>
  <c r="H35" i="1"/>
  <c r="S35" i="1" s="1"/>
  <c r="J31" i="1"/>
  <c r="U31" i="1" s="1"/>
  <c r="C21" i="3"/>
  <c r="C20" i="3"/>
  <c r="G20" i="3"/>
  <c r="G21" i="3"/>
  <c r="E20" i="3"/>
  <c r="E21" i="3"/>
  <c r="H20" i="3"/>
  <c r="H21" i="3"/>
  <c r="I20" i="3"/>
  <c r="D21" i="3"/>
  <c r="T42" i="7" l="1"/>
  <c r="T54" i="7" s="1"/>
  <c r="I66" i="7" s="1"/>
  <c r="T66" i="7" s="1"/>
  <c r="I12" i="7" s="1"/>
  <c r="Q42" i="7"/>
  <c r="Q54" i="7" s="1"/>
  <c r="F66" i="7" s="1"/>
  <c r="Q66" i="7" s="1"/>
  <c r="F12" i="7" s="1"/>
  <c r="V43" i="7"/>
  <c r="V55" i="7" s="1"/>
  <c r="K67" i="7" s="1"/>
  <c r="V67" i="7" s="1"/>
  <c r="K13" i="7" s="1"/>
  <c r="P42" i="7"/>
  <c r="P54" i="7" s="1"/>
  <c r="E66" i="7" s="1"/>
  <c r="P66" i="7" s="1"/>
  <c r="E12" i="7" s="1"/>
  <c r="U43" i="7"/>
  <c r="U55" i="7" s="1"/>
  <c r="J67" i="7" s="1"/>
  <c r="U67" i="7" s="1"/>
  <c r="J13" i="7" s="1"/>
  <c r="W42" i="7"/>
  <c r="W54" i="7" s="1"/>
  <c r="L66" i="7" s="1"/>
  <c r="W66" i="7" s="1"/>
  <c r="L12" i="7" s="1"/>
  <c r="S43" i="7"/>
  <c r="S55" i="7" s="1"/>
  <c r="H67" i="7" s="1"/>
  <c r="S67" i="7" s="1"/>
  <c r="H13" i="7" s="1"/>
  <c r="O42" i="7"/>
  <c r="O54" i="7" s="1"/>
  <c r="D66" i="7" s="1"/>
  <c r="O66" i="7" s="1"/>
  <c r="D12" i="7" s="1"/>
  <c r="P55" i="7"/>
  <c r="E67" i="7" s="1"/>
  <c r="P67" i="7" s="1"/>
  <c r="E13" i="7" s="1"/>
  <c r="P43" i="7"/>
  <c r="W43" i="7"/>
  <c r="W55" i="7" s="1"/>
  <c r="L67" i="7" s="1"/>
  <c r="W67" i="7" s="1"/>
  <c r="L13" i="7" s="1"/>
  <c r="R42" i="7"/>
  <c r="R54" i="7" s="1"/>
  <c r="G66" i="7" s="1"/>
  <c r="R66" i="7" s="1"/>
  <c r="G12" i="7" s="1"/>
  <c r="R43" i="7"/>
  <c r="R55" i="7" s="1"/>
  <c r="G67" i="7" s="1"/>
  <c r="R67" i="7" s="1"/>
  <c r="G13" i="7" s="1"/>
  <c r="S42" i="7"/>
  <c r="S54" i="7" s="1"/>
  <c r="H66" i="7" s="1"/>
  <c r="S66" i="7" s="1"/>
  <c r="H12" i="7" s="1"/>
  <c r="O43" i="7"/>
  <c r="O55" i="7" s="1"/>
  <c r="D67" i="7" s="1"/>
  <c r="O67" i="7" s="1"/>
  <c r="D13" i="7" s="1"/>
  <c r="T43" i="7"/>
  <c r="T55" i="7" s="1"/>
  <c r="I67" i="7" s="1"/>
  <c r="T67" i="7" s="1"/>
  <c r="I13" i="7" s="1"/>
  <c r="Q43" i="7"/>
  <c r="Q55" i="7" s="1"/>
  <c r="F67" i="7" s="1"/>
  <c r="Q67" i="7" s="1"/>
  <c r="F13" i="7" s="1"/>
  <c r="V42" i="7"/>
  <c r="V54" i="7" s="1"/>
  <c r="K66" i="7" s="1"/>
  <c r="V66" i="7" s="1"/>
  <c r="K12" i="7" s="1"/>
  <c r="U42" i="7"/>
  <c r="U54" i="7" s="1"/>
  <c r="J66" i="7" s="1"/>
  <c r="U66" i="7" s="1"/>
  <c r="J12" i="7" s="1"/>
</calcChain>
</file>

<file path=xl/sharedStrings.xml><?xml version="1.0" encoding="utf-8"?>
<sst xmlns="http://schemas.openxmlformats.org/spreadsheetml/2006/main" count="403" uniqueCount="115">
  <si>
    <t>11-20cm</t>
  </si>
  <si>
    <t>21-30cm</t>
  </si>
  <si>
    <t>31-40cm</t>
  </si>
  <si>
    <t>41-50cm</t>
  </si>
  <si>
    <t>51-60cm</t>
  </si>
  <si>
    <t>15-24cm</t>
  </si>
  <si>
    <t>25-34cm</t>
  </si>
  <si>
    <t>Initial Phase</t>
  </si>
  <si>
    <t>Terminal Phase</t>
  </si>
  <si>
    <t>Study</t>
  </si>
  <si>
    <t>Scrapers</t>
  </si>
  <si>
    <t>Excavators</t>
  </si>
  <si>
    <t>Life phase</t>
  </si>
  <si>
    <t>Region/species</t>
  </si>
  <si>
    <t>References:</t>
  </si>
  <si>
    <t>1. Juveniles are excluded from bioerosion calculations as individuals &lt;15 cm do not produce visible scars or contribute significantly to erosion (e.g. Ong &amp; Holland 2010, Lokrantz et al. 2008).</t>
  </si>
  <si>
    <t>5. Grey text indicates substitute values from other phase/size class or values where no specific size was given.</t>
  </si>
  <si>
    <t>6. Greyed out cells indicate size classes above the maximum length of the species reported at fishbase.org.</t>
  </si>
  <si>
    <t>2. In several studies, bite rates were not influenced by life phase but only by fish size (e.g. Afeworki et al. 2013), which is why in some cases, values from one phase were substituted with the same size class of the other phase to increase data coverage.</t>
  </si>
  <si>
    <t>Froese R, Pauly D (2018) FishBase. World Wide Web electronic publication. www.fishbase.org (08/2018)</t>
  </si>
  <si>
    <r>
      <t>Afeworki, Y., Zekeria, Z. A., Videler, J. J., &amp; Bruggemann, J. H. (2013). Food intake by the parrotfish Scarus ferrugineus varies seasonally and is determined by temperature, size and territoriality. </t>
    </r>
    <r>
      <rPr>
        <i/>
        <sz val="10"/>
        <color indexed="63"/>
        <rFont val="Arial"/>
        <family val="2"/>
      </rPr>
      <t>Marine Ecology Progress Series</t>
    </r>
    <r>
      <rPr>
        <sz val="10"/>
        <color indexed="63"/>
        <rFont val="Arial"/>
        <family val="2"/>
      </rPr>
      <t>, </t>
    </r>
    <r>
      <rPr>
        <i/>
        <sz val="10"/>
        <color indexed="63"/>
        <rFont val="Arial"/>
        <family val="2"/>
      </rPr>
      <t>489</t>
    </r>
    <r>
      <rPr>
        <sz val="10"/>
        <color indexed="63"/>
        <rFont val="Arial"/>
        <family val="2"/>
      </rPr>
      <t>, 213-224.</t>
    </r>
  </si>
  <si>
    <r>
      <t>Bellwood, D. R. (1995). Direct estimate of bioerosion by two parrotfish species, Chlorurus gibbus and C. sordidus, on the Great Barrier Reef, Australia. </t>
    </r>
    <r>
      <rPr>
        <i/>
        <sz val="10"/>
        <color indexed="63"/>
        <rFont val="Arial"/>
        <family val="2"/>
      </rPr>
      <t>Marine Biology</t>
    </r>
    <r>
      <rPr>
        <sz val="10"/>
        <color indexed="63"/>
        <rFont val="Arial"/>
        <family val="2"/>
      </rPr>
      <t>, </t>
    </r>
    <r>
      <rPr>
        <i/>
        <sz val="10"/>
        <color indexed="63"/>
        <rFont val="Arial"/>
        <family val="2"/>
      </rPr>
      <t>121</t>
    </r>
    <r>
      <rPr>
        <sz val="10"/>
        <color indexed="63"/>
        <rFont val="Arial"/>
        <family val="2"/>
      </rPr>
      <t>(3), 419-429</t>
    </r>
  </si>
  <si>
    <r>
      <t>Lokrantz, J., Nyström, M., Thyresson, M., &amp; Johansson, C. (2008). The non-linear relationship between body size and function in parrotfishes. </t>
    </r>
    <r>
      <rPr>
        <i/>
        <sz val="10"/>
        <color indexed="63"/>
        <rFont val="Arial"/>
        <family val="2"/>
      </rPr>
      <t>Coral Reefs</t>
    </r>
    <r>
      <rPr>
        <sz val="10"/>
        <color indexed="63"/>
        <rFont val="Arial"/>
        <family val="2"/>
      </rPr>
      <t>, </t>
    </r>
    <r>
      <rPr>
        <i/>
        <sz val="10"/>
        <color indexed="63"/>
        <rFont val="Arial"/>
        <family val="2"/>
      </rPr>
      <t>27</t>
    </r>
    <r>
      <rPr>
        <sz val="10"/>
        <color indexed="63"/>
        <rFont val="Arial"/>
        <family val="2"/>
      </rPr>
      <t>(4), 967-974.</t>
    </r>
  </si>
  <si>
    <r>
      <t>Ong, L., &amp; Holland, K. N. (2010). Bioerosion of coral reefs by two Hawaiian parrotfishes: species, size differences and fishery implications. </t>
    </r>
    <r>
      <rPr>
        <i/>
        <sz val="10"/>
        <color indexed="63"/>
        <rFont val="Arial"/>
        <family val="2"/>
      </rPr>
      <t>Marine biology</t>
    </r>
    <r>
      <rPr>
        <sz val="10"/>
        <color indexed="63"/>
        <rFont val="Arial"/>
        <family val="2"/>
      </rPr>
      <t>, </t>
    </r>
    <r>
      <rPr>
        <i/>
        <sz val="10"/>
        <color indexed="63"/>
        <rFont val="Arial"/>
        <family val="2"/>
      </rPr>
      <t>157</t>
    </r>
    <r>
      <rPr>
        <sz val="10"/>
        <color indexed="63"/>
        <rFont val="Arial"/>
        <family val="2"/>
      </rPr>
      <t>(6), 1313-1323.</t>
    </r>
  </si>
  <si>
    <t>Caribbean</t>
  </si>
  <si>
    <t>Sparisoma viride</t>
  </si>
  <si>
    <t>Scarus vetula</t>
  </si>
  <si>
    <t>25-35cm</t>
  </si>
  <si>
    <t>5-14cm</t>
  </si>
  <si>
    <t>&gt;35cm</t>
  </si>
  <si>
    <t>Bruggemann et al. 1996</t>
  </si>
  <si>
    <t>y=1.362*10^-6*FL^3</t>
  </si>
  <si>
    <t>Bonaire</t>
  </si>
  <si>
    <t>Mumby et al. 2006</t>
  </si>
  <si>
    <t>Sparisoma aurofrenatum</t>
  </si>
  <si>
    <t>Sparisoma rubripinne</t>
  </si>
  <si>
    <t>Sparisoma chrysopterum</t>
  </si>
  <si>
    <t>Scarus taeniopterus</t>
  </si>
  <si>
    <t>y=1(IP)or0.8(TP)*((1088.84-(17.12*FL))-56)/60</t>
  </si>
  <si>
    <t>y=1(IP)or0.8(TP)*((1088.84-(17.12*FL))-260)/60</t>
  </si>
  <si>
    <t>y=1(IP)or0.8(TP)*((1088.84-(17.12*FL))-142)/60</t>
  </si>
  <si>
    <t>y=1(IP)or0.8(TP)*((1088.84-(17.12*FL))-264)/60</t>
  </si>
  <si>
    <t>y=1(IP)or0.85(TP)*(3329-(33.00*FL))/60</t>
  </si>
  <si>
    <t>y=1(IP)or0.85(TP)*((3329-(33.00*FL))-1196)/60</t>
  </si>
  <si>
    <t>y=1(IP)or0.85(TP)*((3329-(33.00*FL))-1714)/60</t>
  </si>
  <si>
    <t>Adam et al. 2015</t>
  </si>
  <si>
    <t>Adam et al. 2018</t>
  </si>
  <si>
    <t>Florida</t>
  </si>
  <si>
    <t>Scarus guacamaia</t>
  </si>
  <si>
    <t>Scarus coelestinus</t>
  </si>
  <si>
    <t>Scarus coeruleus</t>
  </si>
  <si>
    <t>y=0.000579 *TL^2 (*0.01 cm)</t>
  </si>
  <si>
    <t>y=0.306*10^-6*FL^3</t>
  </si>
  <si>
    <t>from Figure S2</t>
  </si>
  <si>
    <t>bite rates decreasing with length (avg 11, 45 cm)</t>
  </si>
  <si>
    <t>no correlation with length</t>
  </si>
  <si>
    <t>bite rates decreasing with length (avg 12, 40 cm)</t>
  </si>
  <si>
    <t>bite rates decreasing with length (avg 12, 42 cm)</t>
  </si>
  <si>
    <t>bite rates decreasing with length (avg 24, 25 cm)</t>
  </si>
  <si>
    <t>bite rates decreasing with length (avg 25, 32 cm)</t>
  </si>
  <si>
    <t>Adam, T. C., Kelley, M., Ruttenberg, B. I., &amp; Burkepile, D. E. (2015). Resource partitioning along multiple niche axes drives functional diversity in parrotfishes on Caribbean coral reefs. Oecologia, 179(4), 1173-1185.</t>
  </si>
  <si>
    <t>Adam, T. C., Duran, A., Fuchs, C. E., Roycroft, M. V., Rojas, M. C., Ruttenberg, B. I., &amp; Burkepile, D. E. (2018). Comparative analysis of foraging behavior and bite mechanics reveals complex functional diversity among Caribbean parrotfishes. Marine Ecology Progress Series, 597, 207-220.</t>
  </si>
  <si>
    <t>Bruggemann, J. H., Van Kessel, A. M., Van Rooij, J. M., &amp; Breeman, A. M. (1996). Bioerosion and sediment ingestion by the Caribbean parrotfish Scarus vetula and Sparisoma viride: implications of fish size, feeding mode and habitat use. Marine Ecology Progress Series, 134, 59-71.</t>
  </si>
  <si>
    <t>Mumby, P. J. (2006). The impact of exploiting grazers (Scaridae) on the dynamics of Caribbean coral reefs. Ecological Applications, 16(2), 747-769.</t>
  </si>
  <si>
    <t>average Caribbean</t>
  </si>
  <si>
    <t>10-19cm</t>
  </si>
  <si>
    <t>20-29cm</t>
  </si>
  <si>
    <t>30-39cm</t>
  </si>
  <si>
    <t>40-49cm</t>
  </si>
  <si>
    <t>50-59cm</t>
  </si>
  <si>
    <t>species</t>
  </si>
  <si>
    <t>overall size classes</t>
  </si>
  <si>
    <t>study size classes</t>
  </si>
  <si>
    <t xml:space="preserve">3. Bite volume has been shown to increase with fish size following a power function (Lokrantz et al. 2008). Therefore, original size class data from some studies were used to calculate power functions or exponential functions describing bite volume depending on fish size, which could then be used to calculate bite volumes for overall size classes. Formulas are given in the notes section. </t>
  </si>
  <si>
    <t xml:space="preserve">4. Similarly, the proportion of bites leaving scars was shown to increase with fish size following a logarithmic function (Ong &amp; Holland 2010, Afeworki et al. 2013). Therefore, best-fit functions were computed from original size class data and used to calculate values for overall size classes. </t>
  </si>
  <si>
    <t>from daily feeding rate assuming 12 h day</t>
  </si>
  <si>
    <t>according to Adam et al. (2015) these species do not contribute to reef erosion</t>
  </si>
  <si>
    <t>largest size class estimated</t>
  </si>
  <si>
    <t>according to Adam et al. (2015) this species does not contribute to reef erosion</t>
  </si>
  <si>
    <t xml:space="preserve">according to Adam et al. (2015) these species do not contribute to reef erosion </t>
  </si>
  <si>
    <r>
      <t xml:space="preserve">substituted with </t>
    </r>
    <r>
      <rPr>
        <i/>
        <sz val="11"/>
        <color indexed="8"/>
        <rFont val="Calibri"/>
        <family val="2"/>
      </rPr>
      <t xml:space="preserve">S. taeniopterus </t>
    </r>
    <r>
      <rPr>
        <sz val="11"/>
        <color theme="1"/>
        <rFont val="Calibri"/>
        <family val="2"/>
        <scheme val="minor"/>
      </rPr>
      <t>(closest relative, similar size)</t>
    </r>
  </si>
  <si>
    <t>substituted with S. vetula (closest relative)</t>
  </si>
  <si>
    <t>Size class specific erosion rates</t>
  </si>
  <si>
    <t>Proportion of bites leaving scars</t>
  </si>
  <si>
    <r>
      <t xml:space="preserve">Chlorurus gibbus </t>
    </r>
    <r>
      <rPr>
        <sz val="11"/>
        <color theme="1"/>
        <rFont val="Calibri"/>
        <family val="2"/>
        <scheme val="minor"/>
      </rPr>
      <t>and large parrotfish</t>
    </r>
  </si>
  <si>
    <r>
      <t xml:space="preserve">Chlorurus sordidus </t>
    </r>
    <r>
      <rPr>
        <sz val="11"/>
        <color theme="1"/>
        <rFont val="Calibri"/>
        <family val="2"/>
        <scheme val="minor"/>
      </rPr>
      <t>and small parrotfish</t>
    </r>
  </si>
  <si>
    <t>Mass removed per year (kg)</t>
  </si>
  <si>
    <t>Mass removed per day (kg)</t>
  </si>
  <si>
    <t>smallest size class estimated</t>
  </si>
  <si>
    <t>extended to all size classes</t>
  </si>
  <si>
    <t xml:space="preserve">from graphs (Fig. 5) </t>
  </si>
  <si>
    <r>
      <t xml:space="preserve">according to Adam et al. (2015) species do not contribute much to reef erosion, therefore substituted with </t>
    </r>
    <r>
      <rPr>
        <i/>
        <sz val="11"/>
        <color theme="1"/>
        <rFont val="Calibri"/>
        <family val="2"/>
        <scheme val="minor"/>
      </rPr>
      <t>Sc. vetula</t>
    </r>
    <r>
      <rPr>
        <sz val="11"/>
        <color theme="1"/>
        <rFont val="Calibri"/>
        <family val="2"/>
        <scheme val="minor"/>
      </rPr>
      <t xml:space="preserve"> values (Bruggemann et al. 1996)</t>
    </r>
  </si>
  <si>
    <t>smaller size classes estimated</t>
  </si>
  <si>
    <t>bites per hour</t>
  </si>
  <si>
    <t>small size classes extrapolated from formula</t>
  </si>
  <si>
    <t>Notes</t>
  </si>
  <si>
    <t>no data on smaller fish. If present in transects substitute with rates from other Scarus species</t>
  </si>
  <si>
    <t>Grey cells in tables indicate size classes above max size reported at fishbase</t>
  </si>
  <si>
    <t>~Sparisoma</t>
  </si>
  <si>
    <t>~Scarus</t>
  </si>
  <si>
    <r>
      <t>Substrate density (g cm</t>
    </r>
    <r>
      <rPr>
        <b/>
        <vertAlign val="superscript"/>
        <sz val="11"/>
        <rFont val="Calibri"/>
        <family val="2"/>
      </rPr>
      <t>-3</t>
    </r>
    <r>
      <rPr>
        <b/>
        <sz val="11"/>
        <rFont val="Calibri"/>
        <family val="2"/>
      </rPr>
      <t>)</t>
    </r>
  </si>
  <si>
    <r>
      <t>Bite rate (bites min</t>
    </r>
    <r>
      <rPr>
        <b/>
        <vertAlign val="superscript"/>
        <sz val="11"/>
        <rFont val="Calibri"/>
        <family val="2"/>
        <scheme val="minor"/>
      </rPr>
      <t>-1</t>
    </r>
    <r>
      <rPr>
        <b/>
        <sz val="11"/>
        <rFont val="Calibri"/>
        <family val="2"/>
        <scheme val="minor"/>
      </rPr>
      <t>)</t>
    </r>
  </si>
  <si>
    <r>
      <t>Bites leaving scars min</t>
    </r>
    <r>
      <rPr>
        <b/>
        <vertAlign val="superscript"/>
        <sz val="11"/>
        <color theme="1"/>
        <rFont val="Calibri"/>
        <family val="2"/>
        <scheme val="minor"/>
      </rPr>
      <t>-1</t>
    </r>
  </si>
  <si>
    <r>
      <t>Volume removed per day (cm</t>
    </r>
    <r>
      <rPr>
        <b/>
        <vertAlign val="superscript"/>
        <sz val="11"/>
        <color theme="1"/>
        <rFont val="Calibri"/>
        <family val="2"/>
        <scheme val="minor"/>
      </rPr>
      <t>3</t>
    </r>
    <r>
      <rPr>
        <b/>
        <sz val="11"/>
        <color theme="1"/>
        <rFont val="Calibri"/>
        <family val="2"/>
        <scheme val="minor"/>
      </rPr>
      <t>)</t>
    </r>
  </si>
  <si>
    <r>
      <t>Volume removed per bite (cm</t>
    </r>
    <r>
      <rPr>
        <b/>
        <vertAlign val="superscript"/>
        <sz val="11"/>
        <rFont val="Calibri"/>
        <family val="2"/>
        <scheme val="minor"/>
      </rPr>
      <t>3</t>
    </r>
    <r>
      <rPr>
        <b/>
        <sz val="11"/>
        <rFont val="Calibri"/>
        <family val="2"/>
        <scheme val="minor"/>
      </rPr>
      <t>)</t>
    </r>
  </si>
  <si>
    <t>can be changed for density of local community composition</t>
  </si>
  <si>
    <t>Parrotfish bite rates</t>
  </si>
  <si>
    <t>Parrotfish scar volumes</t>
  </si>
  <si>
    <r>
      <t>Scar volume (cm</t>
    </r>
    <r>
      <rPr>
        <b/>
        <vertAlign val="superscript"/>
        <sz val="12"/>
        <color indexed="8"/>
        <rFont val="Calibri"/>
        <family val="2"/>
      </rPr>
      <t>3</t>
    </r>
    <r>
      <rPr>
        <b/>
        <sz val="12"/>
        <color indexed="8"/>
        <rFont val="Calibri"/>
        <family val="2"/>
      </rPr>
      <t>)</t>
    </r>
  </si>
  <si>
    <t>Parrotfish proportion of bites leaving scars</t>
  </si>
  <si>
    <r>
      <t>Bite rate (bites min</t>
    </r>
    <r>
      <rPr>
        <b/>
        <vertAlign val="superscript"/>
        <sz val="12"/>
        <color indexed="8"/>
        <rFont val="Calibri"/>
        <family val="2"/>
      </rPr>
      <t>-1</t>
    </r>
    <r>
      <rPr>
        <b/>
        <sz val="12"/>
        <color indexed="8"/>
        <rFont val="Calibri"/>
        <family val="2"/>
      </rPr>
      <t>)</t>
    </r>
  </si>
  <si>
    <r>
      <t xml:space="preserve">For references and calculations see supporting file </t>
    </r>
    <r>
      <rPr>
        <i/>
        <sz val="11"/>
        <color theme="1"/>
        <rFont val="Calibri"/>
        <family val="2"/>
        <scheme val="minor"/>
      </rPr>
      <t>Carribean parrotfish_database</t>
    </r>
    <r>
      <rPr>
        <sz val="11"/>
        <color theme="1"/>
        <rFont val="Calibri"/>
        <family val="2"/>
        <scheme val="minor"/>
      </rPr>
      <t xml:space="preserve"> on the </t>
    </r>
    <r>
      <rPr>
        <i/>
        <sz val="11"/>
        <color theme="1"/>
        <rFont val="Calibri"/>
        <family val="2"/>
        <scheme val="minor"/>
      </rPr>
      <t>ReefBudget</t>
    </r>
    <r>
      <rPr>
        <sz val="11"/>
        <color theme="1"/>
        <rFont val="Calibri"/>
        <family val="2"/>
        <scheme val="minor"/>
      </rPr>
      <t xml:space="preserve"> homepage</t>
    </r>
  </si>
  <si>
    <t>Scarus iseri</t>
  </si>
  <si>
    <t>Caribbean species</t>
  </si>
  <si>
    <r>
      <t xml:space="preserve">% of day feeding </t>
    </r>
    <r>
      <rPr>
        <sz val="11"/>
        <color theme="1"/>
        <rFont val="Calibri"/>
        <family val="2"/>
        <scheme val="minor"/>
      </rPr>
      <t>(Bellwood et al. 1995) from Indo-Pacific study</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</si>
</sst>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0.0"/>
    <numFmt numFmtId="166" formatCode="0.0000"/>
  </numFmts>
  <fonts count="35" x14ac:knownFonts="1">
    <font>
      <sz val="11"/>
      <color theme="1"/>
      <name val="Calibri"/>
      <family val="2"/>
      <scheme val="minor"/>
    </font>
    <font>
      <sz val="11"/>
      <color indexed="8"/>
      <name val="Calibri"/>
      <family val="2"/>
    </font>
    <font>
      <b/>
      <sz val="11"/>
      <color indexed="8"/>
      <name val="Calibri"/>
      <family val="2"/>
    </font>
    <font>
      <b/>
      <sz val="11"/>
      <color indexed="8"/>
      <name val="Calibri"/>
      <family val="2"/>
    </font>
    <font>
      <i/>
      <sz val="11"/>
      <color indexed="8"/>
      <name val="Calibri"/>
      <family val="2"/>
    </font>
    <font>
      <sz val="11"/>
      <color indexed="8"/>
      <name val="Calibri"/>
      <family val="2"/>
    </font>
    <font>
      <b/>
      <sz val="12"/>
      <color indexed="8"/>
      <name val="Calibri"/>
      <family val="2"/>
    </font>
    <font>
      <b/>
      <vertAlign val="superscript"/>
      <sz val="12"/>
      <color indexed="8"/>
      <name val="Calibri"/>
      <family val="2"/>
    </font>
    <font>
      <sz val="10"/>
      <color indexed="8"/>
      <name val="Arial"/>
      <family val="2"/>
    </font>
    <font>
      <sz val="10"/>
      <color indexed="63"/>
      <name val="Arial"/>
      <family val="2"/>
    </font>
    <font>
      <i/>
      <sz val="10"/>
      <color indexed="63"/>
      <name val="Arial"/>
      <family val="2"/>
    </font>
    <font>
      <i/>
      <sz val="11"/>
      <name val="Calibri"/>
      <family val="2"/>
    </font>
    <font>
      <sz val="11"/>
      <name val="Calibri"/>
      <family val="2"/>
    </font>
    <font>
      <b/>
      <sz val="11"/>
      <name val="Calibri"/>
      <family val="2"/>
    </font>
    <font>
      <b/>
      <sz val="11"/>
      <color theme="1"/>
      <name val="Calibri"/>
      <family val="2"/>
      <scheme val="minor"/>
    </font>
    <font>
      <i/>
      <sz val="11"/>
      <color theme="1"/>
      <name val="Calibri"/>
      <family val="2"/>
      <scheme val="minor"/>
    </font>
    <font>
      <sz val="11"/>
      <color theme="0" tint="-0.249977111117893"/>
      <name val="Calibri"/>
      <family val="2"/>
      <scheme val="minor"/>
    </font>
    <font>
      <sz val="11"/>
      <color theme="0" tint="-0.34998626667073579"/>
      <name val="Calibri"/>
      <family val="2"/>
      <scheme val="minor"/>
    </font>
    <font>
      <sz val="11"/>
      <name val="Calibri"/>
      <family val="2"/>
      <scheme val="minor"/>
    </font>
    <font>
      <b/>
      <sz val="11"/>
      <name val="Calibri"/>
      <family val="2"/>
      <scheme val="minor"/>
    </font>
    <font>
      <i/>
      <sz val="11"/>
      <name val="Calibri"/>
      <family val="2"/>
      <scheme val="minor"/>
    </font>
    <font>
      <sz val="10"/>
      <color theme="1"/>
      <name val="Arial"/>
      <family val="2"/>
    </font>
    <font>
      <sz val="10"/>
      <color rgb="FF222222"/>
      <name val="Arial"/>
      <family val="2"/>
    </font>
    <font>
      <b/>
      <sz val="10"/>
      <color theme="1"/>
      <name val="Arial"/>
      <family val="2"/>
    </font>
    <font>
      <i/>
      <sz val="11"/>
      <color theme="0" tint="-0.14999847407452621"/>
      <name val="Calibri"/>
      <family val="2"/>
      <scheme val="minor"/>
    </font>
    <font>
      <b/>
      <sz val="14"/>
      <color theme="1"/>
      <name val="Calibri"/>
      <family val="2"/>
      <scheme val="minor"/>
    </font>
    <font>
      <b/>
      <sz val="12"/>
      <color theme="1"/>
      <name val="Calibri"/>
      <family val="2"/>
      <scheme val="minor"/>
    </font>
    <font>
      <sz val="9"/>
      <color theme="1"/>
      <name val="Calibri"/>
      <family val="2"/>
      <scheme val="minor"/>
    </font>
    <font>
      <sz val="11"/>
      <color rgb="FFFF0000"/>
      <name val="Calibri"/>
      <family val="2"/>
    </font>
    <font>
      <i/>
      <sz val="11"/>
      <color theme="0" tint="-0.249977111117893"/>
      <name val="Calibri"/>
      <family val="2"/>
    </font>
    <font>
      <sz val="10"/>
      <color indexed="8"/>
      <name val="Calibri"/>
      <family val="2"/>
    </font>
    <font>
      <b/>
      <vertAlign val="superscript"/>
      <sz val="11"/>
      <name val="Calibri"/>
      <family val="2"/>
    </font>
    <font>
      <b/>
      <vertAlign val="superscript"/>
      <sz val="11"/>
      <name val="Calibri"/>
      <family val="2"/>
      <scheme val="minor"/>
    </font>
    <font>
      <b/>
      <vertAlign val="superscript"/>
      <sz val="11"/>
      <color theme="1"/>
      <name val="Calibri"/>
      <family val="2"/>
      <scheme val="minor"/>
    </font>
    <font>
      <i/>
      <sz val="9"/>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79998168889431442"/>
        <bgColor indexed="64"/>
      </patternFill>
    </fill>
  </fills>
  <borders count="50">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hair">
        <color indexed="64"/>
      </right>
      <top style="medium">
        <color indexed="64"/>
      </top>
      <bottom/>
      <diagonal/>
    </border>
    <border>
      <left/>
      <right style="hair">
        <color indexed="64"/>
      </right>
      <top/>
      <bottom/>
      <diagonal/>
    </border>
    <border>
      <left style="hair">
        <color indexed="64"/>
      </left>
      <right/>
      <top style="medium">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s>
  <cellStyleXfs count="1">
    <xf numFmtId="0" fontId="0" fillId="0" borderId="0"/>
  </cellStyleXfs>
  <cellXfs count="331">
    <xf numFmtId="0" fontId="0" fillId="0" borderId="0" xfId="0"/>
    <xf numFmtId="0" fontId="3" fillId="2" borderId="0" xfId="0" applyFont="1" applyFill="1" applyBorder="1" applyAlignment="1">
      <alignment horizontal="center"/>
    </xf>
    <xf numFmtId="0" fontId="15" fillId="0" borderId="0" xfId="0" applyFont="1"/>
    <xf numFmtId="0" fontId="0" fillId="0" borderId="0" xfId="0" applyFill="1"/>
    <xf numFmtId="0" fontId="15" fillId="0" borderId="0" xfId="0" applyFont="1" applyBorder="1"/>
    <xf numFmtId="2" fontId="0" fillId="0" borderId="0" xfId="0" applyNumberFormat="1" applyBorder="1"/>
    <xf numFmtId="0" fontId="0" fillId="0" borderId="0" xfId="0" applyFont="1"/>
    <xf numFmtId="2" fontId="0" fillId="0" borderId="0" xfId="0" applyNumberFormat="1" applyFill="1" applyBorder="1"/>
    <xf numFmtId="0" fontId="0" fillId="0" borderId="0" xfId="0" applyFont="1" applyFill="1"/>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2" fontId="0" fillId="3" borderId="0" xfId="0" applyNumberFormat="1" applyFill="1" applyBorder="1"/>
    <xf numFmtId="2" fontId="0" fillId="3" borderId="7" xfId="0" applyNumberFormat="1" applyFill="1" applyBorder="1"/>
    <xf numFmtId="0" fontId="5" fillId="0" borderId="0" xfId="0" applyFont="1" applyFill="1" applyBorder="1" applyAlignment="1">
      <alignment horizontal="left"/>
    </xf>
    <xf numFmtId="0" fontId="15" fillId="0" borderId="0" xfId="0" applyFont="1" applyFill="1" applyBorder="1"/>
    <xf numFmtId="0" fontId="0" fillId="0" borderId="0" xfId="0" applyFont="1" applyFill="1" applyBorder="1"/>
    <xf numFmtId="0" fontId="0" fillId="2" borderId="0" xfId="0" applyFont="1" applyFill="1" applyBorder="1"/>
    <xf numFmtId="0" fontId="0" fillId="2" borderId="0" xfId="0" applyFill="1" applyBorder="1"/>
    <xf numFmtId="2" fontId="14" fillId="2" borderId="0" xfId="0" applyNumberFormat="1" applyFont="1" applyFill="1" applyBorder="1" applyAlignment="1">
      <alignment horizontal="center"/>
    </xf>
    <xf numFmtId="0" fontId="14" fillId="0" borderId="2" xfId="0" applyFont="1" applyBorder="1" applyAlignment="1"/>
    <xf numFmtId="164" fontId="0" fillId="0" borderId="0" xfId="0" applyNumberFormat="1" applyFill="1" applyBorder="1"/>
    <xf numFmtId="164" fontId="0" fillId="3" borderId="0" xfId="0" applyNumberFormat="1" applyFill="1" applyBorder="1"/>
    <xf numFmtId="164" fontId="0" fillId="3" borderId="7" xfId="0" applyNumberFormat="1" applyFill="1" applyBorder="1"/>
    <xf numFmtId="0" fontId="14" fillId="2" borderId="0" xfId="0" applyFont="1" applyFill="1" applyBorder="1" applyAlignment="1">
      <alignment horizontal="center"/>
    </xf>
    <xf numFmtId="0" fontId="15" fillId="2" borderId="0" xfId="0" applyFont="1" applyFill="1" applyBorder="1"/>
    <xf numFmtId="2" fontId="19" fillId="2" borderId="0" xfId="0" applyNumberFormat="1" applyFont="1" applyFill="1" applyBorder="1" applyAlignment="1">
      <alignment horizontal="center"/>
    </xf>
    <xf numFmtId="0" fontId="21" fillId="0" borderId="0" xfId="0" applyFont="1" applyFill="1" applyBorder="1"/>
    <xf numFmtId="0" fontId="21" fillId="0" borderId="0" xfId="0" applyFont="1"/>
    <xf numFmtId="0" fontId="23" fillId="0" borderId="0" xfId="0" applyFont="1"/>
    <xf numFmtId="0" fontId="0" fillId="0" borderId="0" xfId="0" applyBorder="1"/>
    <xf numFmtId="1" fontId="0" fillId="0" borderId="0" xfId="0" applyNumberFormat="1" applyFill="1" applyBorder="1"/>
    <xf numFmtId="1" fontId="17" fillId="0" borderId="0" xfId="0" applyNumberFormat="1" applyFont="1" applyFill="1" applyBorder="1"/>
    <xf numFmtId="0" fontId="24" fillId="0" borderId="0" xfId="0" applyFont="1" applyFill="1" applyBorder="1"/>
    <xf numFmtId="165" fontId="0" fillId="0" borderId="0" xfId="0" applyNumberFormat="1" applyFill="1" applyBorder="1"/>
    <xf numFmtId="165" fontId="0" fillId="3" borderId="0" xfId="0" applyNumberFormat="1" applyFill="1" applyBorder="1"/>
    <xf numFmtId="165" fontId="3" fillId="2" borderId="0" xfId="0" applyNumberFormat="1" applyFont="1" applyFill="1" applyBorder="1" applyAlignment="1">
      <alignment horizontal="center"/>
    </xf>
    <xf numFmtId="0" fontId="0" fillId="0" borderId="0" xfId="0" applyBorder="1"/>
    <xf numFmtId="0" fontId="0" fillId="0" borderId="0" xfId="0" applyFill="1" applyBorder="1"/>
    <xf numFmtId="0" fontId="24" fillId="0" borderId="5" xfId="0" applyFont="1" applyFill="1" applyBorder="1"/>
    <xf numFmtId="0" fontId="25" fillId="0" borderId="0" xfId="0" applyFont="1" applyFill="1"/>
    <xf numFmtId="0" fontId="18" fillId="0" borderId="0" xfId="0" applyFont="1" applyAlignment="1">
      <alignment horizontal="left"/>
    </xf>
    <xf numFmtId="0" fontId="18" fillId="0" borderId="0" xfId="0" applyFont="1"/>
    <xf numFmtId="0" fontId="18" fillId="0" borderId="0" xfId="0" applyFont="1" applyAlignment="1">
      <alignment horizontal="center"/>
    </xf>
    <xf numFmtId="0" fontId="26" fillId="0" borderId="5" xfId="0" applyFont="1" applyBorder="1" applyAlignment="1">
      <alignment vertical="center"/>
    </xf>
    <xf numFmtId="2" fontId="17" fillId="0" borderId="0" xfId="0" applyNumberFormat="1" applyFont="1" applyFill="1" applyBorder="1"/>
    <xf numFmtId="0" fontId="14" fillId="0" borderId="8" xfId="0" applyFont="1" applyFill="1" applyBorder="1"/>
    <xf numFmtId="0" fontId="15" fillId="0" borderId="9" xfId="0" applyFont="1" applyFill="1" applyBorder="1"/>
    <xf numFmtId="0" fontId="14" fillId="4" borderId="8" xfId="0" applyFont="1" applyFill="1" applyBorder="1"/>
    <xf numFmtId="0" fontId="26" fillId="0" borderId="0" xfId="0" applyFont="1" applyBorder="1" applyAlignment="1">
      <alignment vertical="center"/>
    </xf>
    <xf numFmtId="0" fontId="14" fillId="0" borderId="0" xfId="0" applyFont="1" applyFill="1" applyBorder="1"/>
    <xf numFmtId="0" fontId="14" fillId="0" borderId="8" xfId="0" applyFont="1" applyBorder="1" applyAlignment="1"/>
    <xf numFmtId="0" fontId="3" fillId="0" borderId="0" xfId="0" applyFont="1" applyFill="1" applyBorder="1" applyAlignment="1"/>
    <xf numFmtId="0" fontId="14" fillId="4" borderId="0" xfId="0" applyFont="1" applyFill="1" applyBorder="1"/>
    <xf numFmtId="0" fontId="14" fillId="0" borderId="0" xfId="0" applyFont="1" applyFill="1"/>
    <xf numFmtId="0" fontId="0" fillId="0" borderId="0" xfId="0" applyFill="1" applyAlignment="1">
      <alignment wrapText="1"/>
    </xf>
    <xf numFmtId="0" fontId="8" fillId="0" borderId="0" xfId="0" applyFont="1" applyFill="1" applyBorder="1" applyAlignment="1">
      <alignment vertical="top" wrapText="1"/>
    </xf>
    <xf numFmtId="0" fontId="0" fillId="0" borderId="10" xfId="0" applyFill="1" applyBorder="1"/>
    <xf numFmtId="0" fontId="0" fillId="0" borderId="11" xfId="0" applyFill="1" applyBorder="1"/>
    <xf numFmtId="0" fontId="14" fillId="0" borderId="11" xfId="0" applyFont="1" applyFill="1" applyBorder="1"/>
    <xf numFmtId="0" fontId="0" fillId="0" borderId="12" xfId="0" applyFill="1" applyBorder="1"/>
    <xf numFmtId="2" fontId="0" fillId="4" borderId="9" xfId="0" applyNumberFormat="1" applyFill="1" applyBorder="1"/>
    <xf numFmtId="2" fontId="0" fillId="4" borderId="13" xfId="0" applyNumberFormat="1" applyFill="1" applyBorder="1"/>
    <xf numFmtId="2" fontId="0" fillId="4" borderId="0" xfId="0" applyNumberFormat="1" applyFill="1" applyBorder="1"/>
    <xf numFmtId="2" fontId="0" fillId="4" borderId="7" xfId="0" applyNumberFormat="1" applyFill="1" applyBorder="1"/>
    <xf numFmtId="2" fontId="0" fillId="4" borderId="5" xfId="0" applyNumberFormat="1" applyFill="1" applyBorder="1"/>
    <xf numFmtId="2" fontId="0" fillId="4" borderId="6" xfId="0" applyNumberFormat="1" applyFill="1" applyBorder="1"/>
    <xf numFmtId="2" fontId="0" fillId="4" borderId="14" xfId="0" applyNumberFormat="1" applyFill="1" applyBorder="1"/>
    <xf numFmtId="2" fontId="0" fillId="4" borderId="1" xfId="0" applyNumberFormat="1" applyFill="1" applyBorder="1"/>
    <xf numFmtId="2" fontId="0" fillId="4" borderId="15" xfId="0" applyNumberFormat="1" applyFill="1" applyBorder="1"/>
    <xf numFmtId="0" fontId="20" fillId="0" borderId="0" xfId="0" applyFont="1" applyFill="1" applyBorder="1"/>
    <xf numFmtId="1" fontId="14" fillId="2" borderId="0" xfId="0" applyNumberFormat="1" applyFont="1" applyFill="1" applyBorder="1" applyAlignment="1">
      <alignment horizontal="center"/>
    </xf>
    <xf numFmtId="0" fontId="0" fillId="0" borderId="0" xfId="0" applyBorder="1" applyAlignment="1">
      <alignment wrapText="1"/>
    </xf>
    <xf numFmtId="164" fontId="0" fillId="4" borderId="14" xfId="0" applyNumberFormat="1" applyFill="1" applyBorder="1"/>
    <xf numFmtId="164" fontId="0" fillId="4" borderId="9" xfId="0" applyNumberFormat="1" applyFill="1" applyBorder="1"/>
    <xf numFmtId="164" fontId="0" fillId="4" borderId="13" xfId="0" applyNumberFormat="1" applyFill="1" applyBorder="1"/>
    <xf numFmtId="164" fontId="0" fillId="4" borderId="1" xfId="0" applyNumberFormat="1" applyFill="1" applyBorder="1"/>
    <xf numFmtId="164" fontId="0" fillId="4" borderId="0" xfId="0" applyNumberFormat="1" applyFill="1" applyBorder="1"/>
    <xf numFmtId="164" fontId="0" fillId="4" borderId="7" xfId="0" applyNumberFormat="1" applyFill="1" applyBorder="1"/>
    <xf numFmtId="164" fontId="0" fillId="4" borderId="15" xfId="0" applyNumberFormat="1" applyFill="1" applyBorder="1"/>
    <xf numFmtId="164" fontId="0" fillId="4" borderId="5" xfId="0" applyNumberFormat="1" applyFill="1" applyBorder="1"/>
    <xf numFmtId="164" fontId="0" fillId="3" borderId="6" xfId="0" applyNumberFormat="1" applyFill="1" applyBorder="1"/>
    <xf numFmtId="0" fontId="15" fillId="0" borderId="10" xfId="0" applyFont="1" applyFill="1" applyBorder="1"/>
    <xf numFmtId="0" fontId="24" fillId="0" borderId="11" xfId="0" applyFont="1" applyFill="1" applyBorder="1"/>
    <xf numFmtId="0" fontId="24" fillId="0" borderId="12" xfId="0" applyFont="1" applyFill="1" applyBorder="1"/>
    <xf numFmtId="0" fontId="0" fillId="0" borderId="1" xfId="0" applyBorder="1" applyAlignment="1"/>
    <xf numFmtId="164" fontId="17" fillId="0" borderId="0" xfId="0" applyNumberFormat="1" applyFont="1" applyFill="1" applyBorder="1"/>
    <xf numFmtId="0" fontId="15" fillId="0" borderId="11" xfId="0" applyFont="1" applyFill="1" applyBorder="1"/>
    <xf numFmtId="165" fontId="17" fillId="0" borderId="0" xfId="0" applyNumberFormat="1" applyFont="1" applyFill="1" applyBorder="1"/>
    <xf numFmtId="0" fontId="3" fillId="0" borderId="14" xfId="0" applyFont="1" applyFill="1" applyBorder="1" applyAlignment="1">
      <alignment horizontal="center"/>
    </xf>
    <xf numFmtId="0" fontId="3" fillId="0" borderId="9" xfId="0" applyFont="1" applyFill="1" applyBorder="1" applyAlignment="1">
      <alignment horizontal="center"/>
    </xf>
    <xf numFmtId="0" fontId="3" fillId="0" borderId="13" xfId="0" applyFont="1" applyFill="1" applyBorder="1" applyAlignment="1">
      <alignment horizontal="center"/>
    </xf>
    <xf numFmtId="2" fontId="0" fillId="4" borderId="0" xfId="0" applyNumberFormat="1" applyFont="1" applyFill="1" applyBorder="1"/>
    <xf numFmtId="2" fontId="0" fillId="4" borderId="0" xfId="0" applyNumberFormat="1" applyFill="1" applyBorder="1" applyProtection="1">
      <protection locked="0"/>
    </xf>
    <xf numFmtId="2" fontId="0" fillId="4" borderId="13" xfId="0" applyNumberFormat="1" applyFill="1" applyBorder="1" applyProtection="1">
      <protection locked="0"/>
    </xf>
    <xf numFmtId="2" fontId="0" fillId="3" borderId="0" xfId="0" applyNumberFormat="1" applyFill="1" applyBorder="1" applyProtection="1">
      <protection locked="0"/>
    </xf>
    <xf numFmtId="2" fontId="0" fillId="3" borderId="7" xfId="0" applyNumberFormat="1" applyFill="1" applyBorder="1" applyProtection="1">
      <protection locked="0"/>
    </xf>
    <xf numFmtId="2" fontId="0" fillId="4" borderId="7" xfId="0" applyNumberFormat="1" applyFill="1" applyBorder="1" applyProtection="1">
      <protection locked="0"/>
    </xf>
    <xf numFmtId="2" fontId="0" fillId="4" borderId="14" xfId="0" applyNumberFormat="1" applyFill="1" applyBorder="1" applyProtection="1">
      <protection locked="0"/>
    </xf>
    <xf numFmtId="2" fontId="0" fillId="4" borderId="9" xfId="0" applyNumberFormat="1" applyFill="1" applyBorder="1" applyProtection="1">
      <protection locked="0"/>
    </xf>
    <xf numFmtId="2" fontId="0" fillId="4" borderId="1" xfId="0" applyNumberFormat="1" applyFill="1" applyBorder="1" applyProtection="1">
      <protection locked="0"/>
    </xf>
    <xf numFmtId="2" fontId="0" fillId="4" borderId="15" xfId="0" applyNumberFormat="1" applyFill="1" applyBorder="1" applyProtection="1">
      <protection locked="0"/>
    </xf>
    <xf numFmtId="2" fontId="0" fillId="4" borderId="5" xfId="0" applyNumberFormat="1" applyFill="1" applyBorder="1" applyProtection="1">
      <protection locked="0"/>
    </xf>
    <xf numFmtId="165" fontId="17" fillId="0" borderId="0" xfId="0" applyNumberFormat="1" applyFont="1"/>
    <xf numFmtId="0" fontId="0" fillId="2" borderId="16" xfId="0" applyFill="1" applyBorder="1" applyProtection="1">
      <protection locked="0"/>
    </xf>
    <xf numFmtId="0" fontId="0" fillId="2" borderId="17" xfId="0" applyFill="1" applyBorder="1" applyProtection="1">
      <protection locked="0"/>
    </xf>
    <xf numFmtId="0" fontId="0" fillId="2" borderId="18" xfId="0" applyFill="1" applyBorder="1" applyProtection="1">
      <protection locked="0"/>
    </xf>
    <xf numFmtId="0" fontId="0" fillId="0" borderId="0" xfId="0" applyProtection="1">
      <protection locked="0"/>
    </xf>
    <xf numFmtId="0" fontId="0" fillId="2" borderId="19" xfId="0" applyFill="1" applyBorder="1" applyProtection="1">
      <protection locked="0"/>
    </xf>
    <xf numFmtId="0" fontId="0" fillId="2" borderId="0" xfId="0" applyFill="1" applyBorder="1" applyProtection="1">
      <protection locked="0"/>
    </xf>
    <xf numFmtId="0" fontId="0" fillId="2" borderId="20" xfId="0" applyFill="1" applyBorder="1" applyProtection="1">
      <protection locked="0"/>
    </xf>
    <xf numFmtId="0" fontId="30" fillId="2" borderId="32" xfId="0" applyFont="1" applyFill="1" applyBorder="1" applyProtection="1">
      <protection locked="0"/>
    </xf>
    <xf numFmtId="0" fontId="14" fillId="2" borderId="21" xfId="0" applyFont="1" applyFill="1" applyBorder="1" applyProtection="1">
      <protection locked="0"/>
    </xf>
    <xf numFmtId="0" fontId="2" fillId="2" borderId="8" xfId="0" applyFont="1" applyFill="1" applyBorder="1" applyAlignment="1" applyProtection="1">
      <alignment horizontal="center"/>
      <protection locked="0"/>
    </xf>
    <xf numFmtId="0" fontId="2" fillId="2" borderId="48" xfId="0" applyFont="1" applyFill="1" applyBorder="1" applyAlignment="1" applyProtection="1">
      <alignment horizontal="center"/>
      <protection locked="0"/>
    </xf>
    <xf numFmtId="0" fontId="0" fillId="0" borderId="0" xfId="0" applyFill="1" applyProtection="1">
      <protection locked="0"/>
    </xf>
    <xf numFmtId="0" fontId="4" fillId="0" borderId="19" xfId="0" applyFont="1" applyFill="1" applyBorder="1" applyProtection="1">
      <protection locked="0"/>
    </xf>
    <xf numFmtId="2" fontId="0" fillId="0" borderId="1" xfId="0" applyNumberFormat="1" applyFill="1" applyBorder="1" applyProtection="1">
      <protection locked="0"/>
    </xf>
    <xf numFmtId="2" fontId="0" fillId="0" borderId="9" xfId="0" applyNumberFormat="1" applyFill="1" applyBorder="1" applyProtection="1">
      <protection locked="0"/>
    </xf>
    <xf numFmtId="2" fontId="0" fillId="0" borderId="13" xfId="0" applyNumberFormat="1" applyFill="1" applyBorder="1" applyProtection="1">
      <protection locked="0"/>
    </xf>
    <xf numFmtId="2" fontId="0" fillId="0" borderId="0" xfId="0" applyNumberFormat="1" applyFill="1" applyBorder="1" applyProtection="1">
      <protection locked="0"/>
    </xf>
    <xf numFmtId="2" fontId="0" fillId="0" borderId="20" xfId="0" applyNumberFormat="1" applyFill="1" applyBorder="1" applyProtection="1">
      <protection locked="0"/>
    </xf>
    <xf numFmtId="0" fontId="29" fillId="0" borderId="19" xfId="0" applyFont="1" applyFill="1" applyBorder="1" applyProtection="1">
      <protection locked="0"/>
    </xf>
    <xf numFmtId="2" fontId="16" fillId="0" borderId="1" xfId="0" applyNumberFormat="1" applyFont="1" applyFill="1" applyBorder="1" applyProtection="1">
      <protection locked="0"/>
    </xf>
    <xf numFmtId="2" fontId="16" fillId="0" borderId="0" xfId="0" applyNumberFormat="1" applyFont="1" applyFill="1" applyBorder="1" applyProtection="1">
      <protection locked="0"/>
    </xf>
    <xf numFmtId="2" fontId="0" fillId="3" borderId="20" xfId="0" applyNumberFormat="1" applyFill="1" applyBorder="1" applyProtection="1">
      <protection locked="0"/>
    </xf>
    <xf numFmtId="2" fontId="16" fillId="0" borderId="7" xfId="0" applyNumberFormat="1" applyFont="1" applyFill="1" applyBorder="1" applyProtection="1">
      <protection locked="0"/>
    </xf>
    <xf numFmtId="0" fontId="4" fillId="0" borderId="19" xfId="0" applyFont="1" applyFill="1" applyBorder="1" applyAlignment="1" applyProtection="1">
      <protection locked="0"/>
    </xf>
    <xf numFmtId="2" fontId="0" fillId="0" borderId="7" xfId="0" applyNumberFormat="1" applyFill="1" applyBorder="1" applyProtection="1">
      <protection locked="0"/>
    </xf>
    <xf numFmtId="0" fontId="11" fillId="0" borderId="19" xfId="0" applyFont="1" applyFill="1" applyBorder="1" applyAlignment="1" applyProtection="1">
      <protection locked="0"/>
    </xf>
    <xf numFmtId="0" fontId="4" fillId="0" borderId="19" xfId="0" applyFont="1" applyFill="1" applyBorder="1" applyAlignment="1" applyProtection="1">
      <alignment horizontal="left"/>
      <protection locked="0"/>
    </xf>
    <xf numFmtId="0" fontId="29" fillId="0" borderId="19" xfId="0" applyFont="1" applyFill="1" applyBorder="1" applyAlignment="1" applyProtection="1">
      <alignment horizontal="left"/>
      <protection locked="0"/>
    </xf>
    <xf numFmtId="2" fontId="16" fillId="0" borderId="20" xfId="0" applyNumberFormat="1" applyFont="1" applyFill="1" applyBorder="1" applyProtection="1">
      <protection locked="0"/>
    </xf>
    <xf numFmtId="0" fontId="0" fillId="0" borderId="0" xfId="0" applyFill="1" applyBorder="1" applyProtection="1">
      <protection locked="0"/>
    </xf>
    <xf numFmtId="0" fontId="0" fillId="0" borderId="7" xfId="0" applyFill="1" applyBorder="1" applyProtection="1">
      <protection locked="0"/>
    </xf>
    <xf numFmtId="0" fontId="0" fillId="0" borderId="20" xfId="0" applyFill="1" applyBorder="1" applyProtection="1">
      <protection locked="0"/>
    </xf>
    <xf numFmtId="2" fontId="0" fillId="0" borderId="24" xfId="0" applyNumberFormat="1" applyFill="1" applyBorder="1" applyProtection="1">
      <protection locked="0"/>
    </xf>
    <xf numFmtId="2" fontId="0" fillId="0" borderId="37" xfId="0" applyNumberFormat="1" applyFill="1" applyBorder="1" applyProtection="1">
      <protection locked="0"/>
    </xf>
    <xf numFmtId="0" fontId="2" fillId="2" borderId="3" xfId="0"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49" xfId="0" applyFont="1" applyFill="1" applyBorder="1" applyAlignment="1" applyProtection="1">
      <alignment horizontal="center"/>
      <protection locked="0"/>
    </xf>
    <xf numFmtId="0" fontId="0" fillId="2" borderId="0" xfId="0" applyFill="1" applyProtection="1">
      <protection locked="0"/>
    </xf>
    <xf numFmtId="0" fontId="0" fillId="4" borderId="16" xfId="0" applyFill="1" applyBorder="1" applyProtection="1">
      <protection locked="0"/>
    </xf>
    <xf numFmtId="0" fontId="0" fillId="4" borderId="17" xfId="0" applyFill="1" applyBorder="1" applyProtection="1">
      <protection locked="0"/>
    </xf>
    <xf numFmtId="0" fontId="0" fillId="4" borderId="18" xfId="0" applyFill="1" applyBorder="1" applyProtection="1">
      <protection locked="0"/>
    </xf>
    <xf numFmtId="0" fontId="14" fillId="2" borderId="19" xfId="0" applyFont="1" applyFill="1" applyBorder="1" applyProtection="1">
      <protection locked="0"/>
    </xf>
    <xf numFmtId="0" fontId="20" fillId="2" borderId="36" xfId="0" applyFont="1" applyFill="1" applyBorder="1" applyProtection="1">
      <protection locked="0"/>
    </xf>
    <xf numFmtId="2" fontId="0" fillId="4" borderId="30" xfId="0" applyNumberFormat="1" applyFill="1" applyBorder="1" applyProtection="1">
      <protection locked="0"/>
    </xf>
    <xf numFmtId="0" fontId="0" fillId="4" borderId="25" xfId="0" applyFill="1" applyBorder="1" applyProtection="1">
      <protection locked="0"/>
    </xf>
    <xf numFmtId="0" fontId="0" fillId="4" borderId="24" xfId="0" applyFill="1" applyBorder="1" applyProtection="1">
      <protection locked="0"/>
    </xf>
    <xf numFmtId="0" fontId="0" fillId="4" borderId="26" xfId="0" applyFill="1" applyBorder="1" applyProtection="1">
      <protection locked="0"/>
    </xf>
    <xf numFmtId="0" fontId="20" fillId="2" borderId="22" xfId="0" applyFont="1" applyFill="1" applyBorder="1" applyProtection="1">
      <protection locked="0"/>
    </xf>
    <xf numFmtId="0" fontId="20" fillId="2" borderId="21" xfId="0" applyFont="1" applyFill="1" applyBorder="1" applyProtection="1">
      <protection locked="0"/>
    </xf>
    <xf numFmtId="0" fontId="14" fillId="2" borderId="0" xfId="0" applyFont="1" applyFill="1" applyBorder="1" applyProtection="1">
      <protection locked="0"/>
    </xf>
    <xf numFmtId="0" fontId="20" fillId="2" borderId="29" xfId="0" applyFont="1" applyFill="1" applyBorder="1" applyProtection="1">
      <protection locked="0"/>
    </xf>
    <xf numFmtId="0" fontId="14" fillId="2" borderId="0" xfId="0" applyFont="1" applyFill="1" applyBorder="1" applyAlignment="1" applyProtection="1">
      <protection locked="0"/>
    </xf>
    <xf numFmtId="0" fontId="20" fillId="2" borderId="19" xfId="0" applyFont="1" applyFill="1" applyBorder="1" applyProtection="1">
      <protection locked="0"/>
    </xf>
    <xf numFmtId="0" fontId="2" fillId="2" borderId="0" xfId="0" applyFont="1" applyFill="1" applyBorder="1" applyProtection="1">
      <protection locked="0"/>
    </xf>
    <xf numFmtId="0" fontId="2" fillId="2" borderId="0" xfId="0" applyFont="1" applyFill="1" applyBorder="1" applyAlignment="1" applyProtection="1">
      <alignment horizontal="center"/>
      <protection locked="0"/>
    </xf>
    <xf numFmtId="49" fontId="2" fillId="2" borderId="0" xfId="0" applyNumberFormat="1" applyFont="1" applyFill="1" applyBorder="1" applyAlignment="1" applyProtection="1">
      <alignment horizontal="center"/>
      <protection locked="0"/>
    </xf>
    <xf numFmtId="0" fontId="2" fillId="2" borderId="20" xfId="0" applyFont="1" applyFill="1" applyBorder="1" applyAlignment="1" applyProtection="1">
      <alignment horizontal="center"/>
      <protection locked="0"/>
    </xf>
    <xf numFmtId="0" fontId="2" fillId="0" borderId="0" xfId="0" applyFont="1" applyFill="1" applyBorder="1" applyAlignment="1" applyProtection="1">
      <alignment horizontal="center"/>
      <protection locked="0"/>
    </xf>
    <xf numFmtId="0" fontId="2" fillId="0" borderId="0" xfId="0" applyFont="1" applyFill="1" applyBorder="1" applyProtection="1">
      <protection locked="0"/>
    </xf>
    <xf numFmtId="49" fontId="2" fillId="0" borderId="0" xfId="0" applyNumberFormat="1" applyFont="1" applyFill="1" applyBorder="1" applyAlignment="1" applyProtection="1">
      <alignment horizontal="center"/>
      <protection locked="0"/>
    </xf>
    <xf numFmtId="2" fontId="0" fillId="2" borderId="0" xfId="0" applyNumberFormat="1" applyFill="1" applyBorder="1" applyAlignment="1" applyProtection="1">
      <alignment horizontal="center"/>
      <protection locked="0"/>
    </xf>
    <xf numFmtId="0" fontId="1" fillId="2" borderId="0"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2" fontId="0" fillId="0" borderId="0" xfId="0" applyNumberFormat="1" applyFill="1" applyBorder="1" applyAlignment="1" applyProtection="1">
      <alignment horizontal="center"/>
      <protection locked="0"/>
    </xf>
    <xf numFmtId="0" fontId="1" fillId="0" borderId="0" xfId="0" applyFont="1" applyFill="1" applyBorder="1" applyAlignment="1" applyProtection="1">
      <alignment horizontal="center"/>
      <protection locked="0"/>
    </xf>
    <xf numFmtId="2" fontId="0" fillId="4" borderId="20" xfId="0" applyNumberFormat="1" applyFill="1" applyBorder="1" applyProtection="1">
      <protection locked="0"/>
    </xf>
    <xf numFmtId="2" fontId="1" fillId="2" borderId="0" xfId="0" applyNumberFormat="1" applyFont="1" applyFill="1" applyBorder="1" applyAlignment="1" applyProtection="1">
      <alignment horizontal="center"/>
      <protection locked="0"/>
    </xf>
    <xf numFmtId="0" fontId="0" fillId="2" borderId="0" xfId="0" applyFill="1" applyBorder="1" applyAlignment="1" applyProtection="1">
      <alignment horizontal="center"/>
      <protection locked="0"/>
    </xf>
    <xf numFmtId="0" fontId="0" fillId="2" borderId="20" xfId="0" applyFill="1" applyBorder="1" applyAlignment="1" applyProtection="1">
      <alignment horizontal="center"/>
      <protection locked="0"/>
    </xf>
    <xf numFmtId="2" fontId="1" fillId="0" borderId="0" xfId="0" applyNumberFormat="1" applyFont="1" applyFill="1" applyBorder="1" applyAlignment="1" applyProtection="1">
      <alignment horizontal="center"/>
      <protection locked="0"/>
    </xf>
    <xf numFmtId="2" fontId="28" fillId="0" borderId="0" xfId="0" applyNumberFormat="1" applyFont="1" applyFill="1" applyBorder="1" applyAlignment="1" applyProtection="1">
      <alignment horizontal="center"/>
      <protection locked="0"/>
    </xf>
    <xf numFmtId="2" fontId="12" fillId="0" borderId="0" xfId="0" applyNumberFormat="1" applyFont="1" applyFill="1" applyBorder="1" applyAlignment="1" applyProtection="1">
      <alignment horizontal="center"/>
      <protection locked="0"/>
    </xf>
    <xf numFmtId="0" fontId="0" fillId="0" borderId="0" xfId="0" applyFill="1" applyBorder="1" applyAlignment="1" applyProtection="1">
      <alignment horizontal="center"/>
      <protection locked="0"/>
    </xf>
    <xf numFmtId="165" fontId="0" fillId="0" borderId="18" xfId="0" applyNumberFormat="1" applyFont="1" applyFill="1" applyBorder="1" applyAlignment="1" applyProtection="1">
      <protection locked="0"/>
    </xf>
    <xf numFmtId="0" fontId="0" fillId="2" borderId="0" xfId="0" quotePrefix="1" applyFill="1" applyBorder="1" applyProtection="1">
      <protection locked="0"/>
    </xf>
    <xf numFmtId="0" fontId="0" fillId="2" borderId="0" xfId="0" applyFont="1" applyFill="1" applyBorder="1" applyAlignment="1" applyProtection="1">
      <alignment horizontal="center"/>
      <protection locked="0"/>
    </xf>
    <xf numFmtId="0" fontId="0" fillId="2" borderId="20" xfId="0"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20" fillId="2" borderId="25" xfId="0" applyFont="1" applyFill="1" applyBorder="1" applyProtection="1">
      <protection locked="0"/>
    </xf>
    <xf numFmtId="2" fontId="0" fillId="4" borderId="31" xfId="0" applyNumberFormat="1" applyFill="1" applyBorder="1" applyProtection="1">
      <protection locked="0"/>
    </xf>
    <xf numFmtId="2" fontId="0" fillId="4" borderId="24" xfId="0" applyNumberFormat="1" applyFill="1" applyBorder="1" applyProtection="1">
      <protection locked="0"/>
    </xf>
    <xf numFmtId="2" fontId="0" fillId="4" borderId="37" xfId="0" applyNumberFormat="1" applyFill="1" applyBorder="1" applyProtection="1">
      <protection locked="0"/>
    </xf>
    <xf numFmtId="2" fontId="0" fillId="4" borderId="26" xfId="0" applyNumberFormat="1" applyFill="1" applyBorder="1" applyProtection="1">
      <protection locked="0"/>
    </xf>
    <xf numFmtId="0" fontId="0" fillId="0" borderId="26" xfId="0" applyFont="1" applyFill="1" applyBorder="1" applyAlignment="1" applyProtection="1">
      <protection locked="0"/>
    </xf>
    <xf numFmtId="0" fontId="18" fillId="2" borderId="0" xfId="0" applyFont="1" applyFill="1" applyBorder="1" applyProtection="1">
      <protection locked="0"/>
    </xf>
    <xf numFmtId="2" fontId="0" fillId="2" borderId="0" xfId="0" applyNumberFormat="1" applyFill="1" applyBorder="1" applyProtection="1">
      <protection locked="0"/>
    </xf>
    <xf numFmtId="2" fontId="0" fillId="2" borderId="0" xfId="0" applyNumberFormat="1" applyFont="1" applyFill="1" applyBorder="1" applyAlignment="1" applyProtection="1">
      <alignment horizontal="center"/>
      <protection locked="0"/>
    </xf>
    <xf numFmtId="2" fontId="0" fillId="0" borderId="0" xfId="0" applyNumberFormat="1" applyFont="1" applyFill="1" applyBorder="1" applyAlignment="1" applyProtection="1">
      <alignment horizontal="center"/>
      <protection locked="0"/>
    </xf>
    <xf numFmtId="0" fontId="13" fillId="2" borderId="27" xfId="0" applyFont="1" applyFill="1" applyBorder="1" applyProtection="1">
      <protection locked="0"/>
    </xf>
    <xf numFmtId="0" fontId="0" fillId="0" borderId="28" xfId="0" applyBorder="1" applyProtection="1">
      <protection locked="0"/>
    </xf>
    <xf numFmtId="0" fontId="2" fillId="2" borderId="24"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15" fillId="2" borderId="29" xfId="0" applyFont="1" applyFill="1" applyBorder="1" applyProtection="1">
      <protection locked="0"/>
    </xf>
    <xf numFmtId="0" fontId="15" fillId="2" borderId="9" xfId="0" applyFont="1" applyFill="1" applyBorder="1" applyProtection="1">
      <protection locked="0"/>
    </xf>
    <xf numFmtId="2" fontId="0" fillId="5" borderId="14" xfId="0" applyNumberFormat="1" applyFill="1" applyBorder="1" applyProtection="1"/>
    <xf numFmtId="2" fontId="0" fillId="5" borderId="9" xfId="0" applyNumberFormat="1" applyFill="1" applyBorder="1" applyProtection="1"/>
    <xf numFmtId="2" fontId="0" fillId="5" borderId="13" xfId="0" applyNumberFormat="1" applyFill="1" applyBorder="1" applyProtection="1"/>
    <xf numFmtId="2" fontId="0" fillId="5" borderId="30" xfId="0" applyNumberFormat="1" applyFill="1" applyBorder="1" applyProtection="1"/>
    <xf numFmtId="0" fontId="15" fillId="2" borderId="19" xfId="0" applyFont="1" applyFill="1" applyBorder="1" applyProtection="1">
      <protection locked="0"/>
    </xf>
    <xf numFmtId="0" fontId="15" fillId="2" borderId="0" xfId="0" applyFont="1" applyFill="1" applyBorder="1" applyProtection="1">
      <protection locked="0"/>
    </xf>
    <xf numFmtId="2" fontId="0" fillId="5" borderId="1" xfId="0" applyNumberFormat="1" applyFill="1" applyBorder="1" applyProtection="1"/>
    <xf numFmtId="2" fontId="0" fillId="5" borderId="0" xfId="0" applyNumberFormat="1" applyFill="1" applyBorder="1" applyProtection="1"/>
    <xf numFmtId="2" fontId="0" fillId="3" borderId="0" xfId="0" applyNumberFormat="1" applyFill="1" applyBorder="1" applyProtection="1"/>
    <xf numFmtId="2" fontId="0" fillId="3" borderId="7" xfId="0" applyNumberFormat="1" applyFill="1" applyBorder="1" applyProtection="1"/>
    <xf numFmtId="2" fontId="0" fillId="3" borderId="20" xfId="0" applyNumberFormat="1" applyFill="1" applyBorder="1" applyProtection="1"/>
    <xf numFmtId="2" fontId="0" fillId="5" borderId="7" xfId="0" applyNumberFormat="1" applyFill="1" applyBorder="1" applyProtection="1"/>
    <xf numFmtId="0" fontId="15" fillId="2" borderId="7" xfId="0" applyFont="1" applyFill="1" applyBorder="1" applyProtection="1">
      <protection locked="0"/>
    </xf>
    <xf numFmtId="2" fontId="0" fillId="5" borderId="20" xfId="0" applyNumberFormat="1" applyFill="1" applyBorder="1" applyProtection="1"/>
    <xf numFmtId="2" fontId="0" fillId="0" borderId="0" xfId="0" applyNumberFormat="1" applyProtection="1">
      <protection locked="0"/>
    </xf>
    <xf numFmtId="0" fontId="15" fillId="2" borderId="25" xfId="0" applyFont="1" applyFill="1" applyBorder="1" applyProtection="1">
      <protection locked="0"/>
    </xf>
    <xf numFmtId="0" fontId="15" fillId="2" borderId="24" xfId="0" applyFont="1" applyFill="1" applyBorder="1" applyProtection="1">
      <protection locked="0"/>
    </xf>
    <xf numFmtId="2" fontId="0" fillId="5" borderId="31" xfId="0" applyNumberFormat="1" applyFill="1" applyBorder="1" applyProtection="1"/>
    <xf numFmtId="2" fontId="0" fillId="5" borderId="24" xfId="0" applyNumberFormat="1" applyFill="1" applyBorder="1" applyProtection="1"/>
    <xf numFmtId="2" fontId="0" fillId="5" borderId="37" xfId="0" applyNumberFormat="1" applyFill="1" applyBorder="1" applyProtection="1"/>
    <xf numFmtId="2" fontId="0" fillId="5" borderId="26" xfId="0" applyNumberFormat="1" applyFill="1" applyBorder="1" applyProtection="1"/>
    <xf numFmtId="0" fontId="34" fillId="2" borderId="32" xfId="0" applyFont="1" applyFill="1" applyBorder="1" applyProtection="1">
      <protection locked="0"/>
    </xf>
    <xf numFmtId="0" fontId="27" fillId="2" borderId="17" xfId="0" applyFont="1" applyFill="1" applyBorder="1" applyProtection="1">
      <protection locked="0"/>
    </xf>
    <xf numFmtId="0" fontId="27" fillId="2" borderId="33" xfId="0" applyFont="1" applyFill="1" applyBorder="1" applyProtection="1">
      <protection locked="0"/>
    </xf>
    <xf numFmtId="0" fontId="27" fillId="2" borderId="18" xfId="0" applyFont="1" applyFill="1" applyBorder="1" applyProtection="1">
      <protection locked="0"/>
    </xf>
    <xf numFmtId="0" fontId="27" fillId="2" borderId="17" xfId="0" applyFont="1" applyFill="1" applyBorder="1" applyProtection="1"/>
    <xf numFmtId="0" fontId="27" fillId="2" borderId="33" xfId="0" applyFont="1" applyFill="1" applyBorder="1" applyProtection="1"/>
    <xf numFmtId="0" fontId="27" fillId="2" borderId="18" xfId="0" applyFont="1" applyFill="1" applyBorder="1" applyProtection="1"/>
    <xf numFmtId="0" fontId="19" fillId="2" borderId="22" xfId="0" applyFont="1" applyFill="1" applyBorder="1" applyProtection="1">
      <protection locked="0"/>
    </xf>
    <xf numFmtId="0" fontId="27" fillId="2" borderId="0" xfId="0" applyFont="1" applyFill="1" applyBorder="1" applyProtection="1">
      <protection locked="0"/>
    </xf>
    <xf numFmtId="0" fontId="27" fillId="2" borderId="34" xfId="0" applyFont="1" applyFill="1" applyBorder="1" applyProtection="1">
      <protection locked="0"/>
    </xf>
    <xf numFmtId="0" fontId="27" fillId="2" borderId="20" xfId="0" applyFont="1" applyFill="1" applyBorder="1" applyProtection="1">
      <protection locked="0"/>
    </xf>
    <xf numFmtId="0" fontId="27" fillId="2" borderId="0" xfId="0" applyFont="1" applyFill="1" applyBorder="1" applyProtection="1"/>
    <xf numFmtId="0" fontId="27" fillId="2" borderId="34" xfId="0" applyFont="1" applyFill="1" applyBorder="1" applyProtection="1"/>
    <xf numFmtId="0" fontId="27" fillId="2" borderId="20" xfId="0" applyFont="1" applyFill="1" applyBorder="1" applyProtection="1"/>
    <xf numFmtId="164" fontId="0" fillId="4" borderId="14" xfId="0" applyNumberFormat="1" applyFill="1" applyBorder="1" applyProtection="1">
      <protection locked="0"/>
    </xf>
    <xf numFmtId="164" fontId="0" fillId="4" borderId="9" xfId="0" applyNumberFormat="1" applyFill="1" applyBorder="1" applyProtection="1">
      <protection locked="0"/>
    </xf>
    <xf numFmtId="164" fontId="0" fillId="4" borderId="13" xfId="0" applyNumberFormat="1" applyFill="1" applyBorder="1" applyProtection="1">
      <protection locked="0"/>
    </xf>
    <xf numFmtId="164" fontId="0" fillId="4" borderId="30" xfId="0" applyNumberFormat="1" applyFill="1" applyBorder="1" applyProtection="1">
      <protection locked="0"/>
    </xf>
    <xf numFmtId="164" fontId="0" fillId="4" borderId="1" xfId="0" applyNumberFormat="1" applyFill="1" applyBorder="1" applyProtection="1">
      <protection locked="0"/>
    </xf>
    <xf numFmtId="164" fontId="0" fillId="4" borderId="0" xfId="0" applyNumberFormat="1" applyFill="1" applyBorder="1" applyProtection="1">
      <protection locked="0"/>
    </xf>
    <xf numFmtId="164" fontId="0" fillId="3" borderId="0" xfId="0" applyNumberFormat="1" applyFill="1" applyBorder="1" applyProtection="1">
      <protection locked="0"/>
    </xf>
    <xf numFmtId="164" fontId="0" fillId="3" borderId="7" xfId="0" applyNumberFormat="1" applyFill="1" applyBorder="1" applyProtection="1">
      <protection locked="0"/>
    </xf>
    <xf numFmtId="164" fontId="0" fillId="3" borderId="20" xfId="0" applyNumberFormat="1" applyFill="1" applyBorder="1" applyProtection="1">
      <protection locked="0"/>
    </xf>
    <xf numFmtId="164" fontId="0" fillId="4" borderId="7" xfId="0" applyNumberFormat="1" applyFill="1" applyBorder="1" applyProtection="1">
      <protection locked="0"/>
    </xf>
    <xf numFmtId="164" fontId="0" fillId="4" borderId="20" xfId="0" applyNumberFormat="1" applyFill="1" applyBorder="1" applyProtection="1">
      <protection locked="0"/>
    </xf>
    <xf numFmtId="164" fontId="0" fillId="4" borderId="31" xfId="0" applyNumberFormat="1" applyFill="1" applyBorder="1" applyProtection="1">
      <protection locked="0"/>
    </xf>
    <xf numFmtId="164" fontId="0" fillId="4" borderId="24" xfId="0" applyNumberFormat="1" applyFill="1" applyBorder="1" applyProtection="1">
      <protection locked="0"/>
    </xf>
    <xf numFmtId="164" fontId="0" fillId="4" borderId="37" xfId="0" applyNumberFormat="1" applyFill="1" applyBorder="1" applyProtection="1">
      <protection locked="0"/>
    </xf>
    <xf numFmtId="164" fontId="0" fillId="4" borderId="26" xfId="0" applyNumberFormat="1" applyFill="1" applyBorder="1" applyProtection="1">
      <protection locked="0"/>
    </xf>
    <xf numFmtId="0" fontId="27" fillId="2" borderId="35" xfId="0" applyFont="1" applyFill="1" applyBorder="1" applyProtection="1"/>
    <xf numFmtId="0" fontId="19" fillId="2" borderId="21" xfId="0" applyFont="1" applyFill="1" applyBorder="1" applyProtection="1">
      <protection locked="0"/>
    </xf>
    <xf numFmtId="0" fontId="0" fillId="2" borderId="34" xfId="0" applyFill="1" applyBorder="1" applyProtection="1">
      <protection locked="0"/>
    </xf>
    <xf numFmtId="166" fontId="0" fillId="5" borderId="14" xfId="0" applyNumberFormat="1" applyFill="1" applyBorder="1" applyProtection="1"/>
    <xf numFmtId="166" fontId="0" fillId="5" borderId="9" xfId="0" applyNumberFormat="1" applyFill="1" applyBorder="1" applyProtection="1"/>
    <xf numFmtId="166" fontId="0" fillId="5" borderId="13" xfId="0" applyNumberFormat="1" applyFill="1" applyBorder="1" applyProtection="1"/>
    <xf numFmtId="166" fontId="0" fillId="5" borderId="30" xfId="0" applyNumberFormat="1" applyFill="1" applyBorder="1" applyProtection="1"/>
    <xf numFmtId="166" fontId="0" fillId="5" borderId="1" xfId="0" applyNumberFormat="1" applyFill="1" applyBorder="1" applyProtection="1"/>
    <xf numFmtId="166" fontId="0" fillId="5" borderId="0" xfId="0" applyNumberFormat="1" applyFill="1" applyBorder="1" applyProtection="1"/>
    <xf numFmtId="166" fontId="0" fillId="3" borderId="0" xfId="0" applyNumberFormat="1" applyFill="1" applyBorder="1" applyProtection="1"/>
    <xf numFmtId="166" fontId="0" fillId="3" borderId="7" xfId="0" applyNumberFormat="1" applyFill="1" applyBorder="1" applyProtection="1"/>
    <xf numFmtId="166" fontId="0" fillId="3" borderId="20" xfId="0" applyNumberFormat="1" applyFill="1" applyBorder="1" applyProtection="1"/>
    <xf numFmtId="166" fontId="0" fillId="5" borderId="7" xfId="0" applyNumberFormat="1" applyFill="1" applyBorder="1" applyProtection="1"/>
    <xf numFmtId="0" fontId="20" fillId="2" borderId="23" xfId="0" applyFont="1" applyFill="1" applyBorder="1" applyProtection="1">
      <protection locked="0"/>
    </xf>
    <xf numFmtId="166" fontId="0" fillId="5" borderId="31" xfId="0" applyNumberFormat="1" applyFill="1" applyBorder="1" applyProtection="1"/>
    <xf numFmtId="166" fontId="0" fillId="5" borderId="24" xfId="0" applyNumberFormat="1" applyFill="1" applyBorder="1" applyProtection="1"/>
    <xf numFmtId="166" fontId="0" fillId="5" borderId="37" xfId="0" applyNumberFormat="1" applyFill="1" applyBorder="1" applyProtection="1"/>
    <xf numFmtId="0" fontId="0" fillId="2" borderId="25" xfId="0" applyFill="1" applyBorder="1" applyProtection="1">
      <protection locked="0"/>
    </xf>
    <xf numFmtId="0" fontId="0" fillId="2" borderId="24" xfId="0" applyFill="1" applyBorder="1" applyProtection="1">
      <protection locked="0"/>
    </xf>
    <xf numFmtId="0" fontId="0" fillId="2" borderId="26" xfId="0" applyFill="1" applyBorder="1" applyProtection="1">
      <protection locked="0"/>
    </xf>
    <xf numFmtId="2" fontId="18" fillId="0" borderId="1" xfId="0" applyNumberFormat="1" applyFont="1" applyFill="1" applyBorder="1" applyProtection="1">
      <protection locked="0"/>
    </xf>
    <xf numFmtId="2" fontId="18" fillId="0" borderId="0" xfId="0" applyNumberFormat="1" applyFont="1" applyFill="1" applyBorder="1" applyProtection="1">
      <protection locked="0"/>
    </xf>
    <xf numFmtId="2" fontId="18" fillId="3" borderId="0" xfId="0" applyNumberFormat="1" applyFont="1" applyFill="1" applyBorder="1" applyProtection="1">
      <protection locked="0"/>
    </xf>
    <xf numFmtId="2" fontId="18" fillId="3" borderId="7" xfId="0" applyNumberFormat="1" applyFont="1" applyFill="1" applyBorder="1" applyProtection="1">
      <protection locked="0"/>
    </xf>
    <xf numFmtId="2" fontId="18" fillId="0" borderId="7" xfId="0" applyNumberFormat="1" applyFont="1" applyFill="1" applyBorder="1" applyProtection="1">
      <protection locked="0"/>
    </xf>
    <xf numFmtId="0" fontId="0" fillId="0" borderId="19" xfId="0" applyFill="1" applyBorder="1" applyProtection="1">
      <protection locked="0"/>
    </xf>
    <xf numFmtId="0" fontId="4" fillId="0" borderId="25" xfId="0" applyFont="1" applyFill="1" applyBorder="1" applyAlignment="1" applyProtection="1">
      <alignment horizontal="left"/>
      <protection locked="0"/>
    </xf>
    <xf numFmtId="2" fontId="0" fillId="0" borderId="14" xfId="0" applyNumberFormat="1" applyFill="1" applyBorder="1" applyProtection="1">
      <protection locked="0"/>
    </xf>
    <xf numFmtId="0" fontId="0" fillId="0" borderId="1" xfId="0" applyFill="1" applyBorder="1" applyProtection="1">
      <protection locked="0"/>
    </xf>
    <xf numFmtId="2" fontId="0" fillId="0" borderId="31" xfId="0" applyNumberFormat="1" applyFill="1" applyBorder="1" applyProtection="1">
      <protection locked="0"/>
    </xf>
    <xf numFmtId="0" fontId="21" fillId="0" borderId="0" xfId="0" applyFont="1" applyFill="1"/>
    <xf numFmtId="0" fontId="22" fillId="0" borderId="0" xfId="0" applyFont="1" applyFill="1"/>
    <xf numFmtId="2" fontId="0" fillId="6" borderId="0" xfId="0" applyNumberFormat="1" applyFill="1" applyBorder="1"/>
    <xf numFmtId="0" fontId="8" fillId="2" borderId="0" xfId="0" applyFont="1" applyFill="1" applyBorder="1" applyAlignment="1">
      <alignment horizontal="left" vertical="top" wrapText="1"/>
    </xf>
    <xf numFmtId="0" fontId="21" fillId="2" borderId="0" xfId="0" applyFont="1" applyFill="1" applyAlignment="1">
      <alignment horizontal="left" vertical="top" wrapText="1"/>
    </xf>
    <xf numFmtId="0" fontId="0" fillId="0" borderId="1" xfId="0" applyBorder="1" applyAlignment="1">
      <alignment horizontal="left" wrapText="1"/>
    </xf>
    <xf numFmtId="0" fontId="3" fillId="0" borderId="9" xfId="0" applyFont="1" applyFill="1" applyBorder="1" applyAlignment="1">
      <alignment horizontal="center"/>
    </xf>
    <xf numFmtId="0" fontId="3" fillId="0" borderId="13" xfId="0" applyFont="1" applyFill="1" applyBorder="1" applyAlignment="1">
      <alignment horizontal="center"/>
    </xf>
    <xf numFmtId="0" fontId="3" fillId="0" borderId="14"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0" fillId="0" borderId="0" xfId="0" applyBorder="1" applyAlignment="1">
      <alignment horizontal="left" wrapText="1"/>
    </xf>
    <xf numFmtId="0" fontId="3" fillId="0" borderId="0" xfId="0" applyFont="1" applyFill="1" applyBorder="1" applyAlignment="1">
      <alignment horizontal="center"/>
    </xf>
    <xf numFmtId="0" fontId="14" fillId="2" borderId="20" xfId="0" applyFont="1" applyFill="1" applyBorder="1" applyAlignment="1" applyProtection="1">
      <alignment horizontal="right" vertical="center" textRotation="90"/>
      <protection locked="0"/>
    </xf>
    <xf numFmtId="0" fontId="14" fillId="2" borderId="19" xfId="0" applyFont="1" applyFill="1" applyBorder="1" applyAlignment="1" applyProtection="1">
      <alignment horizontal="right" textRotation="90"/>
      <protection locked="0"/>
    </xf>
    <xf numFmtId="0" fontId="14" fillId="2" borderId="16" xfId="0" applyFont="1" applyFill="1" applyBorder="1" applyAlignment="1" applyProtection="1">
      <alignment horizontal="left" wrapText="1"/>
      <protection locked="0"/>
    </xf>
    <xf numFmtId="0" fontId="14" fillId="2" borderId="42" xfId="0" applyFont="1" applyFill="1" applyBorder="1" applyAlignment="1" applyProtection="1">
      <alignment horizontal="left" wrapText="1"/>
      <protection locked="0"/>
    </xf>
    <xf numFmtId="0" fontId="14" fillId="2" borderId="43" xfId="0" applyFont="1" applyFill="1" applyBorder="1" applyAlignment="1" applyProtection="1">
      <alignment horizontal="left" wrapText="1"/>
      <protection locked="0"/>
    </xf>
    <xf numFmtId="0" fontId="14" fillId="2" borderId="6" xfId="0" applyFont="1" applyFill="1" applyBorder="1" applyAlignment="1" applyProtection="1">
      <alignment horizontal="left" wrapText="1"/>
      <protection locked="0"/>
    </xf>
    <xf numFmtId="0" fontId="2" fillId="2" borderId="39" xfId="0" applyFont="1" applyFill="1" applyBorder="1" applyAlignment="1" applyProtection="1">
      <alignment horizontal="center"/>
      <protection locked="0"/>
    </xf>
    <xf numFmtId="0" fontId="2" fillId="2" borderId="41" xfId="0" applyFont="1" applyFill="1" applyBorder="1" applyAlignment="1" applyProtection="1">
      <alignment horizontal="center"/>
      <protection locked="0"/>
    </xf>
    <xf numFmtId="0" fontId="19" fillId="2" borderId="32" xfId="0" applyFont="1" applyFill="1" applyBorder="1" applyAlignment="1" applyProtection="1">
      <alignment horizontal="left"/>
      <protection locked="0"/>
    </xf>
    <xf numFmtId="0" fontId="19" fillId="2" borderId="21" xfId="0" applyFont="1" applyFill="1" applyBorder="1" applyAlignment="1" applyProtection="1">
      <alignment horizontal="left"/>
      <protection locked="0"/>
    </xf>
    <xf numFmtId="0" fontId="2" fillId="2" borderId="17" xfId="0" applyFont="1" applyFill="1" applyBorder="1" applyAlignment="1" applyProtection="1">
      <alignment horizontal="center"/>
      <protection locked="0"/>
    </xf>
    <xf numFmtId="0" fontId="2" fillId="2" borderId="42" xfId="0" applyFont="1" applyFill="1" applyBorder="1" applyAlignment="1" applyProtection="1">
      <alignment horizontal="center"/>
      <protection locked="0"/>
    </xf>
    <xf numFmtId="0" fontId="2" fillId="2" borderId="44" xfId="0" applyFont="1" applyFill="1" applyBorder="1" applyAlignment="1" applyProtection="1">
      <alignment horizontal="center"/>
      <protection locked="0"/>
    </xf>
    <xf numFmtId="0" fontId="14" fillId="0" borderId="0" xfId="0" applyFont="1" applyFill="1" applyBorder="1" applyAlignment="1" applyProtection="1">
      <alignment horizontal="center"/>
      <protection locked="0"/>
    </xf>
    <xf numFmtId="0" fontId="15" fillId="2" borderId="16" xfId="0" applyFont="1" applyFill="1" applyBorder="1" applyAlignment="1" applyProtection="1">
      <alignment horizontal="left"/>
      <protection locked="0"/>
    </xf>
    <xf numFmtId="0" fontId="15" fillId="2" borderId="17" xfId="0" applyFont="1" applyFill="1" applyBorder="1" applyAlignment="1" applyProtection="1">
      <alignment horizontal="left"/>
      <protection locked="0"/>
    </xf>
    <xf numFmtId="0" fontId="15" fillId="2" borderId="25" xfId="0" applyFont="1" applyFill="1" applyBorder="1" applyAlignment="1" applyProtection="1">
      <alignment horizontal="left"/>
      <protection locked="0"/>
    </xf>
    <xf numFmtId="0" fontId="15" fillId="2" borderId="24" xfId="0" applyFont="1" applyFill="1" applyBorder="1" applyAlignment="1" applyProtection="1">
      <alignment horizontal="left"/>
      <protection locked="0"/>
    </xf>
    <xf numFmtId="0" fontId="0" fillId="0" borderId="0" xfId="0" applyBorder="1" applyProtection="1">
      <protection locked="0"/>
    </xf>
    <xf numFmtId="0" fontId="0" fillId="0" borderId="20" xfId="0" applyBorder="1" applyProtection="1">
      <protection locked="0"/>
    </xf>
    <xf numFmtId="0" fontId="0" fillId="0" borderId="19" xfId="0" applyFill="1" applyBorder="1" applyProtection="1">
      <protection locked="0"/>
    </xf>
    <xf numFmtId="0" fontId="0" fillId="0" borderId="0" xfId="0" applyFill="1" applyBorder="1" applyProtection="1">
      <protection locked="0"/>
    </xf>
    <xf numFmtId="0" fontId="0" fillId="0" borderId="20" xfId="0" applyFill="1" applyBorder="1" applyProtection="1">
      <protection locked="0"/>
    </xf>
    <xf numFmtId="0" fontId="0" fillId="0" borderId="25" xfId="0" applyFill="1" applyBorder="1" applyProtection="1">
      <protection locked="0"/>
    </xf>
    <xf numFmtId="0" fontId="0" fillId="0" borderId="24" xfId="0" applyFill="1" applyBorder="1" applyProtection="1">
      <protection locked="0"/>
    </xf>
    <xf numFmtId="0" fontId="0" fillId="0" borderId="26" xfId="0" applyFill="1" applyBorder="1" applyProtection="1">
      <protection locked="0"/>
    </xf>
    <xf numFmtId="0" fontId="14" fillId="2" borderId="45" xfId="0" applyFont="1" applyFill="1" applyBorder="1" applyAlignment="1" applyProtection="1">
      <alignment horizontal="center"/>
      <protection locked="0"/>
    </xf>
    <xf numFmtId="0" fontId="14" fillId="2" borderId="46" xfId="0" applyFont="1" applyFill="1" applyBorder="1" applyAlignment="1" applyProtection="1">
      <alignment horizontal="center"/>
      <protection locked="0"/>
    </xf>
    <xf numFmtId="0" fontId="14" fillId="2" borderId="47" xfId="0" applyFont="1" applyFill="1" applyBorder="1" applyAlignment="1" applyProtection="1">
      <alignment horizontal="center"/>
      <protection locked="0"/>
    </xf>
    <xf numFmtId="0" fontId="2" fillId="2" borderId="38" xfId="0" applyFont="1" applyFill="1" applyBorder="1" applyAlignment="1" applyProtection="1">
      <alignment horizontal="center"/>
      <protection locked="0"/>
    </xf>
    <xf numFmtId="0" fontId="2" fillId="2" borderId="40" xfId="0" applyFont="1" applyFill="1" applyBorder="1" applyAlignment="1" applyProtection="1">
      <alignment horizontal="center"/>
      <protection locked="0"/>
    </xf>
    <xf numFmtId="0" fontId="14" fillId="2" borderId="16" xfId="0" applyFont="1" applyFill="1" applyBorder="1" applyAlignment="1" applyProtection="1">
      <alignment horizontal="center" vertical="center" wrapText="1"/>
      <protection locked="0"/>
    </xf>
    <xf numFmtId="0" fontId="14" fillId="2" borderId="17" xfId="0" applyFont="1" applyFill="1" applyBorder="1" applyAlignment="1" applyProtection="1">
      <alignment horizontal="center" vertical="center" wrapText="1"/>
      <protection locked="0"/>
    </xf>
    <xf numFmtId="0" fontId="14" fillId="2" borderId="18"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4"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0" fillId="0" borderId="17" xfId="0" applyBorder="1" applyProtection="1">
      <protection locked="0"/>
    </xf>
    <xf numFmtId="0" fontId="0" fillId="0" borderId="18" xfId="0"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ribbean%20Parrotfish%20Ero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te Description"/>
      <sheetName val="Data Entry"/>
      <sheetName val="Density"/>
      <sheetName val="Biomass"/>
      <sheetName val="Bioerosion Rates"/>
      <sheetName val="Equations"/>
      <sheetName val="Results"/>
    </sheetNames>
    <sheetDataSet>
      <sheetData sheetId="0">
        <row r="18">
          <cell r="K18">
            <v>12</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zoomScale="90" zoomScaleNormal="90" workbookViewId="0"/>
  </sheetViews>
  <sheetFormatPr defaultRowHeight="14.5" x14ac:dyDescent="0.35"/>
  <cols>
    <col min="1" max="1" width="15.81640625" customWidth="1"/>
    <col min="2" max="2" width="18.1796875" customWidth="1"/>
    <col min="3" max="3" width="17.26953125" customWidth="1"/>
    <col min="4" max="4" width="17.1796875" customWidth="1"/>
    <col min="5" max="5" width="16.26953125" customWidth="1"/>
    <col min="6" max="6" width="16.81640625" customWidth="1"/>
  </cols>
  <sheetData>
    <row r="1" spans="1:10" ht="18.5" x14ac:dyDescent="0.45">
      <c r="A1" s="40" t="s">
        <v>95</v>
      </c>
      <c r="C1" s="41"/>
      <c r="D1" s="41"/>
      <c r="E1" s="42"/>
      <c r="F1" s="42"/>
      <c r="G1" s="43"/>
      <c r="H1" s="42"/>
      <c r="I1" s="42"/>
      <c r="J1" s="42"/>
    </row>
    <row r="2" spans="1:10" ht="33.75" customHeight="1" x14ac:dyDescent="0.35">
      <c r="A2" s="282" t="s">
        <v>15</v>
      </c>
      <c r="B2" s="282"/>
      <c r="C2" s="282"/>
      <c r="D2" s="282"/>
      <c r="E2" s="282"/>
      <c r="F2" s="282"/>
    </row>
    <row r="3" spans="1:10" ht="48.75" customHeight="1" x14ac:dyDescent="0.35">
      <c r="A3" s="282" t="s">
        <v>18</v>
      </c>
      <c r="B3" s="282"/>
      <c r="C3" s="282"/>
      <c r="D3" s="282"/>
      <c r="E3" s="282"/>
      <c r="F3" s="282"/>
    </row>
    <row r="4" spans="1:10" ht="61" customHeight="1" x14ac:dyDescent="0.35">
      <c r="A4" s="282" t="s">
        <v>73</v>
      </c>
      <c r="B4" s="282"/>
      <c r="C4" s="282"/>
      <c r="D4" s="282"/>
      <c r="E4" s="282"/>
      <c r="F4" s="282"/>
    </row>
    <row r="5" spans="1:10" ht="51.75" customHeight="1" x14ac:dyDescent="0.35">
      <c r="A5" s="282" t="s">
        <v>74</v>
      </c>
      <c r="B5" s="282"/>
      <c r="C5" s="282"/>
      <c r="D5" s="282"/>
      <c r="E5" s="282"/>
      <c r="F5" s="282"/>
    </row>
    <row r="6" spans="1:10" ht="23.25" customHeight="1" x14ac:dyDescent="0.35">
      <c r="A6" s="283" t="s">
        <v>16</v>
      </c>
      <c r="B6" s="283"/>
      <c r="C6" s="283"/>
      <c r="D6" s="283"/>
      <c r="E6" s="283"/>
      <c r="F6" s="283"/>
    </row>
    <row r="7" spans="1:10" ht="24" customHeight="1" x14ac:dyDescent="0.35">
      <c r="A7" s="283" t="s">
        <v>17</v>
      </c>
      <c r="B7" s="283"/>
      <c r="C7" s="283"/>
      <c r="D7" s="283"/>
      <c r="E7" s="283"/>
      <c r="F7" s="283"/>
    </row>
    <row r="8" spans="1:10" x14ac:dyDescent="0.35">
      <c r="A8" s="27"/>
      <c r="B8" s="28"/>
      <c r="C8" s="28"/>
      <c r="D8" s="28"/>
      <c r="E8" s="28"/>
      <c r="F8" s="28"/>
    </row>
    <row r="9" spans="1:10" x14ac:dyDescent="0.35">
      <c r="A9" s="28"/>
      <c r="B9" s="28"/>
      <c r="C9" s="28"/>
      <c r="D9" s="28"/>
      <c r="E9" s="28"/>
      <c r="F9" s="28"/>
    </row>
    <row r="10" spans="1:10" x14ac:dyDescent="0.35">
      <c r="A10" s="29" t="s">
        <v>14</v>
      </c>
      <c r="B10" s="28"/>
      <c r="C10" s="28"/>
      <c r="D10" s="28"/>
      <c r="E10" s="28"/>
      <c r="F10" s="28"/>
    </row>
    <row r="11" spans="1:10" s="3" customFormat="1" x14ac:dyDescent="0.35">
      <c r="A11" s="279" t="s">
        <v>60</v>
      </c>
      <c r="B11" s="279"/>
      <c r="C11" s="279"/>
      <c r="D11" s="279"/>
      <c r="E11" s="279"/>
      <c r="F11" s="279"/>
    </row>
    <row r="12" spans="1:10" s="3" customFormat="1" x14ac:dyDescent="0.35">
      <c r="A12" s="279" t="s">
        <v>61</v>
      </c>
      <c r="B12" s="279"/>
      <c r="C12" s="279"/>
      <c r="D12" s="279"/>
      <c r="E12" s="279"/>
      <c r="F12" s="279"/>
    </row>
    <row r="13" spans="1:10" s="3" customFormat="1" x14ac:dyDescent="0.35">
      <c r="A13" s="280" t="s">
        <v>20</v>
      </c>
      <c r="B13" s="279"/>
      <c r="C13" s="279"/>
      <c r="D13" s="279"/>
      <c r="E13" s="279"/>
      <c r="F13" s="279"/>
    </row>
    <row r="14" spans="1:10" s="3" customFormat="1" x14ac:dyDescent="0.35">
      <c r="A14" s="280" t="s">
        <v>21</v>
      </c>
      <c r="B14" s="279"/>
      <c r="C14" s="279"/>
      <c r="D14" s="279"/>
      <c r="E14" s="279"/>
      <c r="F14" s="279"/>
    </row>
    <row r="15" spans="1:10" s="3" customFormat="1" x14ac:dyDescent="0.35">
      <c r="A15" s="280" t="s">
        <v>62</v>
      </c>
      <c r="B15" s="279"/>
      <c r="C15" s="279"/>
      <c r="D15" s="279"/>
      <c r="E15" s="279"/>
      <c r="F15" s="279"/>
    </row>
    <row r="16" spans="1:10" s="3" customFormat="1" x14ac:dyDescent="0.35">
      <c r="A16" s="280" t="s">
        <v>19</v>
      </c>
      <c r="B16" s="279"/>
      <c r="C16" s="279"/>
      <c r="D16" s="279"/>
      <c r="E16" s="279"/>
      <c r="F16" s="279"/>
    </row>
    <row r="17" spans="1:6" s="3" customFormat="1" x14ac:dyDescent="0.35">
      <c r="A17" s="280" t="s">
        <v>22</v>
      </c>
      <c r="B17" s="279"/>
      <c r="C17" s="279"/>
      <c r="D17" s="279"/>
      <c r="E17" s="279"/>
      <c r="F17" s="279"/>
    </row>
    <row r="18" spans="1:6" s="3" customFormat="1" x14ac:dyDescent="0.35">
      <c r="A18" s="280" t="s">
        <v>63</v>
      </c>
      <c r="B18" s="279"/>
      <c r="C18" s="279"/>
      <c r="D18" s="279"/>
      <c r="E18" s="279"/>
      <c r="F18" s="279"/>
    </row>
    <row r="19" spans="1:6" s="3" customFormat="1" x14ac:dyDescent="0.35">
      <c r="A19" s="280" t="s">
        <v>23</v>
      </c>
      <c r="B19" s="279"/>
      <c r="C19" s="279"/>
      <c r="D19" s="279"/>
      <c r="E19" s="279"/>
      <c r="F19" s="279"/>
    </row>
  </sheetData>
  <mergeCells count="6">
    <mergeCell ref="A4:F4"/>
    <mergeCell ref="A5:F5"/>
    <mergeCell ref="A2:F2"/>
    <mergeCell ref="A3:F3"/>
    <mergeCell ref="A7:F7"/>
    <mergeCell ref="A6:F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zoomScale="85" zoomScaleNormal="85" workbookViewId="0">
      <selection activeCell="S52" sqref="S52"/>
    </sheetView>
  </sheetViews>
  <sheetFormatPr defaultRowHeight="14.5" x14ac:dyDescent="0.35"/>
  <cols>
    <col min="1" max="1" width="27.26953125" customWidth="1"/>
    <col min="2" max="2" width="45.453125" customWidth="1"/>
    <col min="12" max="12" width="40" customWidth="1"/>
    <col min="13" max="13" width="27" style="6" customWidth="1"/>
    <col min="14" max="22" width="8.7265625" customWidth="1"/>
    <col min="23" max="23" width="11" customWidth="1"/>
    <col min="24" max="24" width="10.54296875" customWidth="1"/>
  </cols>
  <sheetData>
    <row r="1" spans="1:25" ht="18.5" x14ac:dyDescent="0.45">
      <c r="A1" s="40" t="s">
        <v>106</v>
      </c>
      <c r="C1" s="41"/>
      <c r="D1" s="41"/>
      <c r="E1" s="42"/>
      <c r="F1" s="42"/>
      <c r="G1" s="43"/>
      <c r="H1" s="42"/>
      <c r="I1" s="42"/>
      <c r="J1" s="42"/>
      <c r="M1"/>
      <c r="N1" s="55"/>
      <c r="O1" s="55"/>
      <c r="P1" s="55"/>
      <c r="Q1" s="55"/>
      <c r="R1" s="55"/>
      <c r="S1" s="55"/>
    </row>
    <row r="2" spans="1:25" ht="17.5" x14ac:dyDescent="0.35">
      <c r="A2" s="49" t="s">
        <v>110</v>
      </c>
      <c r="B2" s="49"/>
      <c r="C2" s="287" t="s">
        <v>7</v>
      </c>
      <c r="D2" s="285"/>
      <c r="E2" s="285"/>
      <c r="F2" s="286"/>
      <c r="G2" s="285" t="s">
        <v>8</v>
      </c>
      <c r="H2" s="285"/>
      <c r="I2" s="285"/>
      <c r="J2" s="285"/>
      <c r="K2" s="286"/>
      <c r="L2" s="3" t="s">
        <v>12</v>
      </c>
      <c r="M2" s="8"/>
      <c r="N2" s="55"/>
      <c r="O2" s="55"/>
      <c r="P2" s="55"/>
      <c r="Q2" s="55"/>
      <c r="R2" s="55"/>
      <c r="S2" s="55"/>
    </row>
    <row r="3" spans="1:25" ht="14.5" customHeight="1" x14ac:dyDescent="0.35">
      <c r="A3" s="20" t="s">
        <v>9</v>
      </c>
      <c r="B3" s="51" t="s">
        <v>13</v>
      </c>
      <c r="C3" s="9" t="s">
        <v>65</v>
      </c>
      <c r="D3" s="10" t="s">
        <v>66</v>
      </c>
      <c r="E3" s="10" t="s">
        <v>67</v>
      </c>
      <c r="F3" s="11" t="s">
        <v>68</v>
      </c>
      <c r="G3" s="10" t="s">
        <v>65</v>
      </c>
      <c r="H3" s="10" t="s">
        <v>66</v>
      </c>
      <c r="I3" s="10" t="s">
        <v>67</v>
      </c>
      <c r="J3" s="10" t="s">
        <v>68</v>
      </c>
      <c r="K3" s="11" t="s">
        <v>69</v>
      </c>
      <c r="L3" s="3" t="s">
        <v>71</v>
      </c>
      <c r="N3" s="55"/>
      <c r="O3" s="55"/>
      <c r="P3" s="55"/>
      <c r="Q3" s="55"/>
      <c r="R3" s="55"/>
      <c r="S3" s="55"/>
      <c r="T3" s="56"/>
      <c r="U3" s="56"/>
      <c r="V3" s="56"/>
      <c r="W3" s="56"/>
      <c r="X3" s="56"/>
      <c r="Y3" s="56"/>
    </row>
    <row r="4" spans="1:25" ht="14.5" customHeight="1" x14ac:dyDescent="0.35">
      <c r="A4" s="53" t="s">
        <v>24</v>
      </c>
      <c r="B4" s="38"/>
      <c r="C4" s="52"/>
      <c r="D4" s="52"/>
      <c r="E4" s="52"/>
      <c r="F4" s="52"/>
      <c r="G4" s="52"/>
      <c r="H4" s="52"/>
      <c r="I4" s="52"/>
      <c r="J4" s="52"/>
      <c r="K4" s="52"/>
      <c r="M4" s="16"/>
      <c r="N4" s="55"/>
      <c r="O4" s="55"/>
      <c r="P4" s="55"/>
      <c r="Q4" s="55"/>
      <c r="R4" s="55"/>
      <c r="S4" s="55"/>
      <c r="T4" s="56"/>
      <c r="U4" s="56"/>
      <c r="V4" s="56"/>
      <c r="W4" s="56"/>
      <c r="X4" s="56"/>
      <c r="Y4" s="56"/>
    </row>
    <row r="5" spans="1:25" ht="14.5" customHeight="1" x14ac:dyDescent="0.35">
      <c r="A5" s="18" t="s">
        <v>30</v>
      </c>
      <c r="B5" s="17" t="s">
        <v>32</v>
      </c>
      <c r="C5" s="26" t="s">
        <v>28</v>
      </c>
      <c r="D5" s="26" t="s">
        <v>5</v>
      </c>
      <c r="E5" s="26" t="s">
        <v>27</v>
      </c>
      <c r="F5" s="26"/>
      <c r="G5" s="26" t="s">
        <v>5</v>
      </c>
      <c r="H5" s="26" t="s">
        <v>6</v>
      </c>
      <c r="I5" s="26" t="s">
        <v>29</v>
      </c>
      <c r="J5" s="26" t="s">
        <v>29</v>
      </c>
      <c r="K5" s="26" t="s">
        <v>29</v>
      </c>
      <c r="L5" s="14" t="s">
        <v>72</v>
      </c>
      <c r="M5" s="16"/>
      <c r="N5" s="55"/>
      <c r="O5" s="55"/>
      <c r="P5" s="55"/>
      <c r="Q5" s="55"/>
      <c r="R5" s="55"/>
      <c r="S5" s="55"/>
      <c r="T5" s="56"/>
      <c r="U5" s="56"/>
      <c r="V5" s="56"/>
      <c r="W5" s="56"/>
      <c r="X5" s="56"/>
      <c r="Y5" s="56"/>
    </row>
    <row r="6" spans="1:25" ht="14.5" customHeight="1" x14ac:dyDescent="0.35">
      <c r="A6" s="16"/>
      <c r="B6" s="15" t="s">
        <v>25</v>
      </c>
      <c r="C6" s="34">
        <f>(AVERAGE(9926,8066))/60/12</f>
        <v>12.494444444444445</v>
      </c>
      <c r="D6" s="34">
        <f>(AVERAGE(9694,7714))/60/12</f>
        <v>12.088888888888889</v>
      </c>
      <c r="E6" s="34">
        <f>(AVERAGE(7535,6010))/60/12</f>
        <v>9.40625</v>
      </c>
      <c r="F6" s="34"/>
      <c r="G6" s="34">
        <f>(AVERAGE(8096,6308))/60/12</f>
        <v>10.002777777777778</v>
      </c>
      <c r="H6" s="34">
        <f>(AVERAGE(6304,4927))/60/12</f>
        <v>7.7993055555555557</v>
      </c>
      <c r="I6" s="34">
        <f>(AVERAGE(4513,3545))/60/12</f>
        <v>5.5958333333333341</v>
      </c>
      <c r="J6" s="88">
        <f>(AVERAGE(4513,3545))/60/12</f>
        <v>5.5958333333333341</v>
      </c>
      <c r="K6" s="88">
        <f>(AVERAGE(4513,3545))/60/12</f>
        <v>5.5958333333333341</v>
      </c>
      <c r="L6" t="s">
        <v>75</v>
      </c>
      <c r="M6" s="16"/>
      <c r="N6" s="55"/>
      <c r="O6" s="55"/>
      <c r="P6" s="55"/>
      <c r="Q6" s="55"/>
      <c r="R6" s="55"/>
      <c r="S6" s="55"/>
    </row>
    <row r="7" spans="1:25" ht="14.5" customHeight="1" x14ac:dyDescent="0.35">
      <c r="B7" s="2" t="s">
        <v>26</v>
      </c>
      <c r="C7" s="34">
        <f>28058/60/12</f>
        <v>38.969444444444441</v>
      </c>
      <c r="D7" s="34">
        <f>25485/60/12</f>
        <v>35.395833333333336</v>
      </c>
      <c r="E7" s="34">
        <f>22341/60/12</f>
        <v>31.029166666666669</v>
      </c>
      <c r="F7" s="34"/>
      <c r="G7" s="34">
        <f>21412/60/12</f>
        <v>29.738888888888891</v>
      </c>
      <c r="H7" s="34">
        <f>18771/60/12</f>
        <v>26.070833333333336</v>
      </c>
      <c r="I7" s="34">
        <f>16129/60/12</f>
        <v>22.401388888888889</v>
      </c>
      <c r="J7" s="88">
        <f>16130/60/12</f>
        <v>22.402777777777775</v>
      </c>
      <c r="K7" s="34"/>
      <c r="L7" t="s">
        <v>75</v>
      </c>
      <c r="M7" s="16"/>
      <c r="N7" s="55"/>
      <c r="O7" s="55"/>
      <c r="P7" s="55"/>
      <c r="Q7" s="55"/>
      <c r="R7" s="55"/>
      <c r="S7" s="55"/>
    </row>
    <row r="8" spans="1:25" ht="14.5" customHeight="1" x14ac:dyDescent="0.35">
      <c r="A8" s="38"/>
      <c r="B8" s="15"/>
      <c r="C8" s="31"/>
      <c r="D8" s="31"/>
      <c r="E8" s="31"/>
      <c r="F8" s="31"/>
      <c r="G8" s="31"/>
      <c r="H8" s="31"/>
      <c r="I8" s="31"/>
      <c r="J8" s="32"/>
      <c r="K8" s="7"/>
      <c r="M8" s="16"/>
      <c r="N8" s="55"/>
      <c r="O8" s="55"/>
      <c r="P8" s="55"/>
      <c r="Q8" s="55"/>
      <c r="R8" s="55"/>
      <c r="S8" s="55"/>
    </row>
    <row r="9" spans="1:25" x14ac:dyDescent="0.35">
      <c r="A9" s="18" t="s">
        <v>33</v>
      </c>
      <c r="B9" s="25"/>
      <c r="C9" s="1" t="s">
        <v>65</v>
      </c>
      <c r="D9" s="1" t="s">
        <v>66</v>
      </c>
      <c r="E9" s="1" t="s">
        <v>67</v>
      </c>
      <c r="F9" s="1" t="s">
        <v>68</v>
      </c>
      <c r="G9" s="1" t="s">
        <v>65</v>
      </c>
      <c r="H9" s="1" t="s">
        <v>66</v>
      </c>
      <c r="I9" s="1" t="s">
        <v>67</v>
      </c>
      <c r="J9" s="1" t="s">
        <v>68</v>
      </c>
      <c r="K9" s="1" t="s">
        <v>69</v>
      </c>
      <c r="M9" s="16"/>
      <c r="N9" s="55"/>
      <c r="O9" s="55"/>
      <c r="P9" s="55"/>
      <c r="Q9" s="55"/>
      <c r="R9" s="55"/>
      <c r="S9" s="55"/>
    </row>
    <row r="10" spans="1:25" x14ac:dyDescent="0.35">
      <c r="A10" s="38"/>
      <c r="B10" s="15" t="s">
        <v>25</v>
      </c>
      <c r="C10" s="34">
        <f>1*((1088.84-(17.12*15))-56)/60</f>
        <v>12.933999999999999</v>
      </c>
      <c r="D10" s="34">
        <f>1*((1088.84-(17.12*25))-56)/60</f>
        <v>10.080666666666666</v>
      </c>
      <c r="E10" s="34">
        <f>1*((1088.84-(17.12*35))-56)/60</f>
        <v>7.2273333333333314</v>
      </c>
      <c r="F10" s="34">
        <f>1*((1088.84-(17.12*45))-56)/60</f>
        <v>4.373999999999997</v>
      </c>
      <c r="G10" s="34">
        <f>0.8*((1088.84-(17.12*15))-56)/60</f>
        <v>10.347199999999999</v>
      </c>
      <c r="H10" s="34">
        <f>0.8*((1088.84-(17.12*25))-56)/60</f>
        <v>8.0645333333333333</v>
      </c>
      <c r="I10" s="34">
        <f>0.8*((1088.84-(17.12*35))-56)/60</f>
        <v>5.7818666666666649</v>
      </c>
      <c r="J10" s="34">
        <f>0.8*((1088.84-(17.12*45))-56)/60</f>
        <v>3.4991999999999979</v>
      </c>
      <c r="K10" s="34">
        <f>0.8*((1088.84-(17.12*55))-56)/60</f>
        <v>1.2165333333333319</v>
      </c>
      <c r="L10" t="s">
        <v>38</v>
      </c>
      <c r="M10" s="16"/>
      <c r="N10" s="55"/>
      <c r="O10" s="55"/>
      <c r="P10" s="55"/>
      <c r="Q10" s="55"/>
      <c r="R10" s="55"/>
      <c r="S10" s="55"/>
    </row>
    <row r="11" spans="1:25" x14ac:dyDescent="0.35">
      <c r="A11" s="38"/>
      <c r="B11" s="70" t="s">
        <v>34</v>
      </c>
      <c r="C11" s="34">
        <f>1*((1088.84-(17.12*15))-260)/60</f>
        <v>9.5339999999999989</v>
      </c>
      <c r="D11" s="34">
        <f>1*((1088.84-(17.12*25))-260)/60</f>
        <v>6.6806666666666654</v>
      </c>
      <c r="E11" s="35"/>
      <c r="F11" s="35"/>
      <c r="G11" s="34">
        <f>0.8*((1088.84-(17.12*15))-260)/60</f>
        <v>7.6272000000000002</v>
      </c>
      <c r="H11" s="34">
        <f>0.8*((1088.84-(17.12*25))-260)/60</f>
        <v>5.3445333333333327</v>
      </c>
      <c r="I11" s="35"/>
      <c r="J11" s="35"/>
      <c r="K11" s="35"/>
      <c r="L11" t="s">
        <v>39</v>
      </c>
      <c r="M11" s="16"/>
      <c r="N11" s="55"/>
      <c r="O11" s="55"/>
      <c r="P11" s="55"/>
      <c r="Q11" s="55"/>
      <c r="R11" s="55"/>
      <c r="S11" s="55"/>
    </row>
    <row r="12" spans="1:25" x14ac:dyDescent="0.35">
      <c r="A12" s="38"/>
      <c r="B12" s="70" t="s">
        <v>35</v>
      </c>
      <c r="C12" s="34">
        <f>1*((1088.84-(17.12*15))-142)/60</f>
        <v>11.500666666666666</v>
      </c>
      <c r="D12" s="34">
        <f>1*((1088.84-(17.12*25))-142)/60</f>
        <v>8.6473333333333322</v>
      </c>
      <c r="E12" s="34">
        <f>1*((1088.84-(17.12*35))-142)/60</f>
        <v>5.7939999999999978</v>
      </c>
      <c r="F12" s="34">
        <f>1*((1088.84-(17.12*45))-142)/60</f>
        <v>2.9406666666666639</v>
      </c>
      <c r="G12" s="34">
        <f>0.8*((1088.84-(17.12*15))-142)/60</f>
        <v>9.2005333333333343</v>
      </c>
      <c r="H12" s="34">
        <f>0.8*((1088.84-(17.12*25))-142)/60</f>
        <v>6.9178666666666659</v>
      </c>
      <c r="I12" s="34">
        <f>0.8*((1088.84-(17.12*35))-142)/60</f>
        <v>4.6351999999999984</v>
      </c>
      <c r="J12" s="34">
        <f>0.8*((1088.84-(17.12*45))-142)/60</f>
        <v>2.3525333333333314</v>
      </c>
      <c r="K12" s="35"/>
      <c r="L12" t="s">
        <v>40</v>
      </c>
      <c r="M12" s="16"/>
      <c r="N12" s="55"/>
      <c r="O12" s="55"/>
      <c r="P12" s="55"/>
      <c r="Q12" s="55"/>
      <c r="R12" s="55"/>
      <c r="S12" s="55"/>
    </row>
    <row r="13" spans="1:25" x14ac:dyDescent="0.35">
      <c r="A13" s="38"/>
      <c r="B13" s="70" t="s">
        <v>36</v>
      </c>
      <c r="C13" s="34">
        <f>1*((1088.84-(17.12*15))-264)/60</f>
        <v>9.4673333333333325</v>
      </c>
      <c r="D13" s="34">
        <f>1*((1088.84-(17.12*25))-264)/60</f>
        <v>6.613999999999999</v>
      </c>
      <c r="E13" s="34">
        <f>1*((1088.84-(17.12*35))-264)/60</f>
        <v>3.7606666666666646</v>
      </c>
      <c r="F13" s="34">
        <f>1*((1088.84-(17.12*45))-264)/60</f>
        <v>0.90733333333333044</v>
      </c>
      <c r="G13" s="34">
        <f>0.8*((1088.84-(17.12*15))-264)/60</f>
        <v>7.5738666666666665</v>
      </c>
      <c r="H13" s="34">
        <f>0.8*((1088.84-(17.12*25))-264)/60</f>
        <v>5.2911999999999999</v>
      </c>
      <c r="I13" s="34">
        <f>0.8*((1088.84-(17.12*35))-264)/60</f>
        <v>3.0085333333333319</v>
      </c>
      <c r="J13" s="34">
        <f>0.8*((1088.84-(17.12*45))-264)/60</f>
        <v>0.72586666666666444</v>
      </c>
      <c r="K13" s="35"/>
      <c r="L13" t="s">
        <v>41</v>
      </c>
      <c r="M13" s="16"/>
      <c r="N13" s="55"/>
      <c r="O13" s="55"/>
      <c r="P13" s="55"/>
      <c r="Q13" s="55"/>
      <c r="R13" s="55"/>
      <c r="S13" s="55"/>
    </row>
    <row r="14" spans="1:25" x14ac:dyDescent="0.35">
      <c r="A14" s="38"/>
      <c r="B14" s="70" t="s">
        <v>26</v>
      </c>
      <c r="C14" s="34">
        <f>1*((3329-(33*15)))/60</f>
        <v>47.233333333333334</v>
      </c>
      <c r="D14" s="34">
        <f>1*((3329-(33*25)))/60</f>
        <v>41.733333333333334</v>
      </c>
      <c r="E14" s="34">
        <f>1*((3329-(33*35)))/60</f>
        <v>36.233333333333334</v>
      </c>
      <c r="F14" s="34">
        <f>1*((3329-(33*45)))/60</f>
        <v>30.733333333333334</v>
      </c>
      <c r="G14" s="34">
        <f>0.85*((3329-(33*15)))/60</f>
        <v>40.148333333333333</v>
      </c>
      <c r="H14" s="34">
        <f>0.85*((3329-(33*25)))/60</f>
        <v>35.473333333333336</v>
      </c>
      <c r="I14" s="34">
        <f>0.85*((3329-(33*35)))/60</f>
        <v>30.798333333333332</v>
      </c>
      <c r="J14" s="34">
        <f>0.85*((3329-(33*45)))/60</f>
        <v>26.123333333333331</v>
      </c>
      <c r="K14" s="34">
        <f>0.85*((3329-(33*55)))/60</f>
        <v>21.448333333333331</v>
      </c>
      <c r="L14" t="s">
        <v>42</v>
      </c>
      <c r="M14" s="16"/>
      <c r="N14" s="55"/>
      <c r="O14" s="55"/>
      <c r="P14" s="55"/>
      <c r="Q14" s="55"/>
      <c r="R14" s="55"/>
      <c r="S14" s="55"/>
    </row>
    <row r="15" spans="1:25" x14ac:dyDescent="0.35">
      <c r="A15" s="38"/>
      <c r="B15" s="15" t="s">
        <v>37</v>
      </c>
      <c r="C15" s="34">
        <f>1*((3329-(33*15))-1196)/60</f>
        <v>27.3</v>
      </c>
      <c r="D15" s="34">
        <f>1*((3329-(33*25))-1196)/60</f>
        <v>21.8</v>
      </c>
      <c r="E15" s="34">
        <f>1*((3329-(33*35))-1196)/60</f>
        <v>16.3</v>
      </c>
      <c r="F15" s="35"/>
      <c r="G15" s="34">
        <f>0.85*((3329-(33*15))-1196)/60</f>
        <v>23.204999999999998</v>
      </c>
      <c r="H15" s="34">
        <f>0.85*((3329-(33*25))-1196)/60</f>
        <v>18.529999999999998</v>
      </c>
      <c r="I15" s="34">
        <f>0.85*((3329-(33*35))-1196)/60</f>
        <v>13.854999999999999</v>
      </c>
      <c r="J15" s="35"/>
      <c r="K15" s="35"/>
      <c r="L15" t="s">
        <v>43</v>
      </c>
      <c r="M15" s="16"/>
      <c r="N15" s="55"/>
      <c r="O15" s="55"/>
      <c r="P15" s="55"/>
      <c r="Q15" s="55"/>
      <c r="R15" s="55"/>
      <c r="S15" s="55"/>
    </row>
    <row r="16" spans="1:25" x14ac:dyDescent="0.35">
      <c r="A16" s="38"/>
      <c r="B16" s="15" t="s">
        <v>112</v>
      </c>
      <c r="C16" s="34">
        <f>1*((3329-(33*15))-1714)/60</f>
        <v>18.666666666666668</v>
      </c>
      <c r="D16" s="34">
        <f>1*((3329-(33*25))-1714)/60</f>
        <v>13.166666666666666</v>
      </c>
      <c r="E16" s="34">
        <f>1*((3329-(33*35))-1714)/60</f>
        <v>7.666666666666667</v>
      </c>
      <c r="F16" s="35"/>
      <c r="G16" s="34">
        <f>0.85*((3329-(33*15))-1714)/60</f>
        <v>15.866666666666667</v>
      </c>
      <c r="H16" s="34">
        <f>0.85*((3329-(33*25))-1714)/60</f>
        <v>11.191666666666666</v>
      </c>
      <c r="I16" s="34">
        <f>0.85*((3329-(33*35))-1714)/60</f>
        <v>6.5166666666666666</v>
      </c>
      <c r="J16" s="35"/>
      <c r="K16" s="35"/>
      <c r="L16" t="s">
        <v>44</v>
      </c>
      <c r="M16" s="16"/>
    </row>
    <row r="17" spans="1:22" x14ac:dyDescent="0.35">
      <c r="A17" s="38"/>
      <c r="B17" s="15"/>
      <c r="C17" s="34"/>
      <c r="D17" s="34"/>
      <c r="E17" s="34"/>
      <c r="F17" s="34"/>
      <c r="G17" s="34"/>
      <c r="H17" s="34"/>
      <c r="I17" s="34"/>
      <c r="J17" s="34"/>
      <c r="K17" s="34"/>
      <c r="M17" s="16"/>
    </row>
    <row r="18" spans="1:22" x14ac:dyDescent="0.35">
      <c r="A18" s="18" t="s">
        <v>45</v>
      </c>
      <c r="B18" s="17" t="s">
        <v>47</v>
      </c>
      <c r="C18" s="36"/>
      <c r="D18" s="1" t="s">
        <v>66</v>
      </c>
      <c r="E18" s="1" t="s">
        <v>67</v>
      </c>
      <c r="F18" s="36"/>
      <c r="G18" s="36"/>
      <c r="H18" s="36"/>
      <c r="I18" s="1" t="s">
        <v>67</v>
      </c>
      <c r="J18" s="1" t="s">
        <v>68</v>
      </c>
      <c r="K18" s="1" t="s">
        <v>69</v>
      </c>
      <c r="L18" t="s">
        <v>53</v>
      </c>
      <c r="M18" s="16"/>
    </row>
    <row r="19" spans="1:22" x14ac:dyDescent="0.35">
      <c r="A19" s="50"/>
      <c r="B19" s="70" t="s">
        <v>34</v>
      </c>
      <c r="C19" s="34">
        <v>7.5</v>
      </c>
      <c r="D19" s="34">
        <v>7.5</v>
      </c>
      <c r="E19" s="35"/>
      <c r="F19" s="35"/>
      <c r="G19" s="34"/>
      <c r="H19" s="34"/>
      <c r="I19" s="35"/>
      <c r="J19" s="35"/>
      <c r="K19" s="35"/>
      <c r="L19" t="s">
        <v>55</v>
      </c>
      <c r="M19" s="16"/>
    </row>
    <row r="20" spans="1:22" x14ac:dyDescent="0.35">
      <c r="A20" s="38"/>
      <c r="B20" s="70" t="s">
        <v>36</v>
      </c>
      <c r="C20" s="34"/>
      <c r="D20" s="34">
        <v>7.5</v>
      </c>
      <c r="E20" s="34">
        <v>7.5</v>
      </c>
      <c r="F20" s="34"/>
      <c r="G20" s="34"/>
      <c r="H20" s="34"/>
      <c r="I20" s="34"/>
      <c r="J20" s="34"/>
      <c r="K20" s="35"/>
      <c r="L20" t="s">
        <v>55</v>
      </c>
      <c r="M20" s="16"/>
    </row>
    <row r="21" spans="1:22" x14ac:dyDescent="0.35">
      <c r="A21" s="38"/>
      <c r="B21" s="70" t="s">
        <v>35</v>
      </c>
      <c r="C21" s="34"/>
      <c r="D21" s="34">
        <v>8</v>
      </c>
      <c r="E21" s="34">
        <v>8</v>
      </c>
      <c r="F21" s="34"/>
      <c r="G21" s="34"/>
      <c r="H21" s="34"/>
      <c r="I21" s="34"/>
      <c r="J21" s="34"/>
      <c r="K21" s="35"/>
      <c r="L21" t="s">
        <v>55</v>
      </c>
      <c r="M21" s="16"/>
    </row>
    <row r="22" spans="1:22" x14ac:dyDescent="0.35">
      <c r="A22" s="38"/>
      <c r="B22" s="70" t="s">
        <v>25</v>
      </c>
      <c r="C22" s="34">
        <v>9</v>
      </c>
      <c r="D22" s="34">
        <v>9</v>
      </c>
      <c r="E22" s="34">
        <v>9</v>
      </c>
      <c r="F22" s="34">
        <v>9</v>
      </c>
      <c r="G22" s="88"/>
      <c r="H22" s="88"/>
      <c r="I22" s="88"/>
      <c r="J22" s="88"/>
      <c r="K22" s="88"/>
      <c r="L22" t="s">
        <v>55</v>
      </c>
      <c r="M22" s="16"/>
    </row>
    <row r="23" spans="1:22" x14ac:dyDescent="0.35">
      <c r="A23" s="38"/>
      <c r="B23" s="70" t="s">
        <v>48</v>
      </c>
      <c r="C23" s="103">
        <v>17</v>
      </c>
      <c r="D23" s="88">
        <v>15</v>
      </c>
      <c r="E23" s="88">
        <v>13</v>
      </c>
      <c r="F23" s="88">
        <v>11</v>
      </c>
      <c r="G23" s="88">
        <v>17</v>
      </c>
      <c r="H23" s="34">
        <v>15</v>
      </c>
      <c r="I23" s="34">
        <v>13</v>
      </c>
      <c r="J23" s="34">
        <v>11</v>
      </c>
      <c r="K23" s="34">
        <v>10</v>
      </c>
      <c r="L23" t="s">
        <v>54</v>
      </c>
      <c r="M23" s="16" t="s">
        <v>92</v>
      </c>
    </row>
    <row r="24" spans="1:22" x14ac:dyDescent="0.35">
      <c r="A24" s="38"/>
      <c r="B24" s="70" t="s">
        <v>49</v>
      </c>
      <c r="C24" s="88">
        <v>19</v>
      </c>
      <c r="D24" s="88">
        <v>17</v>
      </c>
      <c r="E24" s="88">
        <v>15</v>
      </c>
      <c r="F24" s="88">
        <v>12</v>
      </c>
      <c r="G24" s="88">
        <v>19</v>
      </c>
      <c r="H24" s="88">
        <v>17</v>
      </c>
      <c r="I24" s="34">
        <v>15</v>
      </c>
      <c r="J24" s="34">
        <v>12</v>
      </c>
      <c r="K24" s="34">
        <v>10</v>
      </c>
      <c r="L24" t="s">
        <v>56</v>
      </c>
      <c r="M24" s="16" t="s">
        <v>92</v>
      </c>
    </row>
    <row r="25" spans="1:22" x14ac:dyDescent="0.35">
      <c r="A25" s="38"/>
      <c r="B25" s="70" t="s">
        <v>26</v>
      </c>
      <c r="C25" s="34">
        <v>32</v>
      </c>
      <c r="D25" s="34">
        <v>28</v>
      </c>
      <c r="E25" s="34">
        <v>25</v>
      </c>
      <c r="F25" s="34">
        <v>20</v>
      </c>
      <c r="G25" s="88">
        <v>32</v>
      </c>
      <c r="H25" s="88">
        <v>28</v>
      </c>
      <c r="I25" s="88">
        <v>25</v>
      </c>
      <c r="J25" s="88">
        <v>20</v>
      </c>
      <c r="K25" s="88">
        <v>15</v>
      </c>
      <c r="L25" t="s">
        <v>59</v>
      </c>
    </row>
    <row r="26" spans="1:22" x14ac:dyDescent="0.35">
      <c r="A26" s="38"/>
      <c r="B26" s="70" t="s">
        <v>37</v>
      </c>
      <c r="C26" s="34">
        <v>30</v>
      </c>
      <c r="D26" s="34">
        <v>24</v>
      </c>
      <c r="E26" s="34">
        <v>22</v>
      </c>
      <c r="F26" s="35"/>
      <c r="G26" s="88">
        <v>30</v>
      </c>
      <c r="H26" s="88">
        <v>24</v>
      </c>
      <c r="I26" s="88">
        <v>22</v>
      </c>
      <c r="J26" s="35"/>
      <c r="K26" s="35"/>
      <c r="L26" t="s">
        <v>58</v>
      </c>
    </row>
    <row r="27" spans="1:22" x14ac:dyDescent="0.35">
      <c r="A27" s="38"/>
      <c r="B27" s="70" t="s">
        <v>50</v>
      </c>
      <c r="C27" s="88">
        <v>20</v>
      </c>
      <c r="D27" s="88">
        <v>18</v>
      </c>
      <c r="E27" s="88">
        <v>16</v>
      </c>
      <c r="F27" s="88">
        <v>12</v>
      </c>
      <c r="G27" s="88">
        <v>20</v>
      </c>
      <c r="H27" s="88">
        <v>18</v>
      </c>
      <c r="I27" s="34">
        <v>16</v>
      </c>
      <c r="J27" s="34">
        <v>12</v>
      </c>
      <c r="K27" s="34">
        <v>10</v>
      </c>
      <c r="L27" t="s">
        <v>57</v>
      </c>
      <c r="M27" s="16" t="s">
        <v>92</v>
      </c>
    </row>
    <row r="28" spans="1:22" x14ac:dyDescent="0.35">
      <c r="A28" s="3"/>
      <c r="B28" s="3"/>
      <c r="C28" s="3"/>
      <c r="D28" s="3"/>
      <c r="E28" s="3"/>
      <c r="F28" s="3"/>
      <c r="G28" s="3"/>
      <c r="H28" s="3"/>
      <c r="I28" s="3"/>
      <c r="J28" s="3"/>
      <c r="K28" s="3"/>
    </row>
    <row r="29" spans="1:22" x14ac:dyDescent="0.35">
      <c r="A29" s="3"/>
      <c r="B29" s="3"/>
      <c r="C29" s="287" t="s">
        <v>7</v>
      </c>
      <c r="D29" s="285"/>
      <c r="E29" s="285"/>
      <c r="F29" s="286"/>
      <c r="G29" s="288" t="s">
        <v>8</v>
      </c>
      <c r="H29" s="288"/>
      <c r="I29" s="288"/>
      <c r="J29" s="288"/>
      <c r="K29" s="289"/>
      <c r="N29" t="s">
        <v>93</v>
      </c>
    </row>
    <row r="30" spans="1:22" x14ac:dyDescent="0.35">
      <c r="A30" s="46" t="s">
        <v>64</v>
      </c>
      <c r="B30" s="54" t="s">
        <v>70</v>
      </c>
      <c r="C30" s="9" t="s">
        <v>65</v>
      </c>
      <c r="D30" s="10" t="s">
        <v>66</v>
      </c>
      <c r="E30" s="10" t="s">
        <v>67</v>
      </c>
      <c r="F30" s="11" t="s">
        <v>68</v>
      </c>
      <c r="G30" s="10" t="s">
        <v>65</v>
      </c>
      <c r="H30" s="10" t="s">
        <v>66</v>
      </c>
      <c r="I30" s="10" t="s">
        <v>67</v>
      </c>
      <c r="J30" s="10" t="s">
        <v>68</v>
      </c>
      <c r="K30" s="11" t="s">
        <v>69</v>
      </c>
      <c r="N30" s="9" t="s">
        <v>65</v>
      </c>
      <c r="O30" s="10" t="s">
        <v>66</v>
      </c>
      <c r="P30" s="10" t="s">
        <v>67</v>
      </c>
      <c r="Q30" s="11" t="s">
        <v>68</v>
      </c>
      <c r="R30" s="10" t="s">
        <v>65</v>
      </c>
      <c r="S30" s="10" t="s">
        <v>66</v>
      </c>
      <c r="T30" s="10" t="s">
        <v>67</v>
      </c>
      <c r="U30" s="10" t="s">
        <v>68</v>
      </c>
      <c r="V30" s="11" t="s">
        <v>69</v>
      </c>
    </row>
    <row r="31" spans="1:22" x14ac:dyDescent="0.35">
      <c r="A31" s="57" t="s">
        <v>11</v>
      </c>
      <c r="B31" s="47" t="s">
        <v>25</v>
      </c>
      <c r="C31" s="67">
        <f>AVERAGE(C6,C10,C22)</f>
        <v>11.476148148148148</v>
      </c>
      <c r="D31" s="61">
        <f t="shared" ref="D31:J31" si="0">AVERAGE(D6,D10,D22)</f>
        <v>10.389851851851851</v>
      </c>
      <c r="E31" s="61">
        <f t="shared" si="0"/>
        <v>8.5445277777777768</v>
      </c>
      <c r="F31" s="61">
        <f t="shared" si="0"/>
        <v>6.6869999999999985</v>
      </c>
      <c r="G31" s="61">
        <f t="shared" si="0"/>
        <v>10.174988888888889</v>
      </c>
      <c r="H31" s="61">
        <f t="shared" si="0"/>
        <v>7.9319194444444445</v>
      </c>
      <c r="I31" s="61">
        <f t="shared" si="0"/>
        <v>5.6888499999999995</v>
      </c>
      <c r="J31" s="61">
        <f t="shared" si="0"/>
        <v>4.5475166666666658</v>
      </c>
      <c r="K31" s="62">
        <f>AVERAGE(K6,K10,K22)</f>
        <v>3.4061833333333329</v>
      </c>
      <c r="N31" s="92">
        <f t="shared" ref="N31:N40" si="1">C31*60</f>
        <v>688.56888888888886</v>
      </c>
      <c r="O31" s="92">
        <f t="shared" ref="O31:O40" si="2">D31*60</f>
        <v>623.39111111111106</v>
      </c>
      <c r="P31" s="92">
        <f t="shared" ref="P31:P40" si="3">E31*60</f>
        <v>512.67166666666662</v>
      </c>
      <c r="Q31" s="92">
        <f t="shared" ref="Q31:Q40" si="4">F31*60</f>
        <v>401.21999999999991</v>
      </c>
      <c r="R31" s="92">
        <f t="shared" ref="R31:R40" si="5">G31*60</f>
        <v>610.49933333333331</v>
      </c>
      <c r="S31" s="92">
        <f t="shared" ref="S31:S40" si="6">H31*60</f>
        <v>475.91516666666666</v>
      </c>
      <c r="T31" s="92">
        <f t="shared" ref="T31:T40" si="7">I31*60</f>
        <v>341.33099999999996</v>
      </c>
      <c r="U31" s="92">
        <f t="shared" ref="U31:U40" si="8">J31*60</f>
        <v>272.85099999999994</v>
      </c>
      <c r="V31" s="92">
        <f t="shared" ref="V31:V40" si="9">K31*60</f>
        <v>204.37099999999998</v>
      </c>
    </row>
    <row r="32" spans="1:22" x14ac:dyDescent="0.35">
      <c r="A32" s="58"/>
      <c r="B32" s="33" t="s">
        <v>34</v>
      </c>
      <c r="C32" s="68">
        <f>AVERAGE(C11,C19)</f>
        <v>8.5169999999999995</v>
      </c>
      <c r="D32" s="63">
        <f>AVERAGE(D11,D19)</f>
        <v>7.0903333333333327</v>
      </c>
      <c r="E32" s="12"/>
      <c r="F32" s="12"/>
      <c r="G32" s="63">
        <f>AVERAGE(G11,G19)</f>
        <v>7.6272000000000002</v>
      </c>
      <c r="H32" s="63">
        <f>AVERAGE(H11,H19)</f>
        <v>5.3445333333333327</v>
      </c>
      <c r="I32" s="12"/>
      <c r="J32" s="12"/>
      <c r="K32" s="13"/>
      <c r="L32" s="284" t="s">
        <v>79</v>
      </c>
      <c r="N32" s="92">
        <f t="shared" si="1"/>
        <v>511.02</v>
      </c>
      <c r="O32" s="92">
        <f t="shared" si="2"/>
        <v>425.41999999999996</v>
      </c>
      <c r="P32" s="92">
        <f t="shared" si="3"/>
        <v>0</v>
      </c>
      <c r="Q32" s="92">
        <f t="shared" si="4"/>
        <v>0</v>
      </c>
      <c r="R32" s="92">
        <f t="shared" si="5"/>
        <v>457.63200000000001</v>
      </c>
      <c r="S32" s="92">
        <f t="shared" si="6"/>
        <v>320.67199999999997</v>
      </c>
      <c r="T32" s="92">
        <f t="shared" si="7"/>
        <v>0</v>
      </c>
      <c r="U32" s="92">
        <f t="shared" si="8"/>
        <v>0</v>
      </c>
      <c r="V32" s="92">
        <f t="shared" si="9"/>
        <v>0</v>
      </c>
    </row>
    <row r="33" spans="1:22" x14ac:dyDescent="0.35">
      <c r="A33" s="58"/>
      <c r="B33" s="33" t="s">
        <v>35</v>
      </c>
      <c r="C33" s="68">
        <f>AVERAGE(C12,C21)</f>
        <v>11.500666666666666</v>
      </c>
      <c r="D33" s="63">
        <f t="shared" ref="D33:J33" si="10">AVERAGE(D12,D21)</f>
        <v>8.3236666666666661</v>
      </c>
      <c r="E33" s="63">
        <f t="shared" si="10"/>
        <v>6.8969999999999985</v>
      </c>
      <c r="F33" s="63">
        <f t="shared" si="10"/>
        <v>2.9406666666666639</v>
      </c>
      <c r="G33" s="63">
        <f t="shared" si="10"/>
        <v>9.2005333333333343</v>
      </c>
      <c r="H33" s="63">
        <f t="shared" si="10"/>
        <v>6.9178666666666659</v>
      </c>
      <c r="I33" s="63">
        <f t="shared" si="10"/>
        <v>4.6351999999999984</v>
      </c>
      <c r="J33" s="63">
        <f t="shared" si="10"/>
        <v>2.3525333333333314</v>
      </c>
      <c r="K33" s="13"/>
      <c r="L33" s="284"/>
      <c r="N33" s="92">
        <f t="shared" si="1"/>
        <v>690.04</v>
      </c>
      <c r="O33" s="92">
        <f t="shared" si="2"/>
        <v>499.41999999999996</v>
      </c>
      <c r="P33" s="92">
        <f t="shared" si="3"/>
        <v>413.81999999999994</v>
      </c>
      <c r="Q33" s="92">
        <f t="shared" si="4"/>
        <v>176.43999999999983</v>
      </c>
      <c r="R33" s="92">
        <f t="shared" si="5"/>
        <v>552.03200000000004</v>
      </c>
      <c r="S33" s="92">
        <f t="shared" si="6"/>
        <v>415.07199999999995</v>
      </c>
      <c r="T33" s="92">
        <f t="shared" si="7"/>
        <v>278.11199999999991</v>
      </c>
      <c r="U33" s="92">
        <f t="shared" si="8"/>
        <v>141.15199999999987</v>
      </c>
      <c r="V33" s="92">
        <f t="shared" si="9"/>
        <v>0</v>
      </c>
    </row>
    <row r="34" spans="1:22" x14ac:dyDescent="0.35">
      <c r="A34" s="58"/>
      <c r="B34" s="33" t="s">
        <v>36</v>
      </c>
      <c r="C34" s="68">
        <f>AVERAGE(C13,C20)</f>
        <v>9.4673333333333325</v>
      </c>
      <c r="D34" s="63">
        <f t="shared" ref="D34:J34" si="11">AVERAGE(D13,D20)</f>
        <v>7.0569999999999995</v>
      </c>
      <c r="E34" s="63">
        <f t="shared" si="11"/>
        <v>5.6303333333333327</v>
      </c>
      <c r="F34" s="63">
        <f t="shared" si="11"/>
        <v>0.90733333333333044</v>
      </c>
      <c r="G34" s="63">
        <f t="shared" si="11"/>
        <v>7.5738666666666665</v>
      </c>
      <c r="H34" s="63">
        <f t="shared" si="11"/>
        <v>5.2911999999999999</v>
      </c>
      <c r="I34" s="63">
        <f t="shared" si="11"/>
        <v>3.0085333333333319</v>
      </c>
      <c r="J34" s="63">
        <f t="shared" si="11"/>
        <v>0.72586666666666444</v>
      </c>
      <c r="K34" s="13"/>
      <c r="L34" s="284"/>
      <c r="N34" s="92">
        <f t="shared" si="1"/>
        <v>568.04</v>
      </c>
      <c r="O34" s="92">
        <f t="shared" si="2"/>
        <v>423.41999999999996</v>
      </c>
      <c r="P34" s="92">
        <f t="shared" si="3"/>
        <v>337.81999999999994</v>
      </c>
      <c r="Q34" s="92">
        <f t="shared" si="4"/>
        <v>54.439999999999827</v>
      </c>
      <c r="R34" s="92">
        <f t="shared" si="5"/>
        <v>454.43200000000002</v>
      </c>
      <c r="S34" s="92">
        <f t="shared" si="6"/>
        <v>317.47199999999998</v>
      </c>
      <c r="T34" s="92">
        <f t="shared" si="7"/>
        <v>180.51199999999992</v>
      </c>
      <c r="U34" s="92">
        <f t="shared" si="8"/>
        <v>43.551999999999865</v>
      </c>
      <c r="V34" s="92">
        <f t="shared" si="9"/>
        <v>0</v>
      </c>
    </row>
    <row r="35" spans="1:22" x14ac:dyDescent="0.35">
      <c r="A35" s="57" t="s">
        <v>10</v>
      </c>
      <c r="B35" s="47" t="s">
        <v>26</v>
      </c>
      <c r="C35" s="67">
        <f>AVERAGE(C7,C14,C25)</f>
        <v>39.400925925925925</v>
      </c>
      <c r="D35" s="61">
        <f t="shared" ref="D35:K35" si="12">AVERAGE(D7,D14,D25)</f>
        <v>35.043055555555554</v>
      </c>
      <c r="E35" s="61">
        <f t="shared" si="12"/>
        <v>30.754166666666666</v>
      </c>
      <c r="F35" s="61">
        <f t="shared" si="12"/>
        <v>25.366666666666667</v>
      </c>
      <c r="G35" s="61">
        <f t="shared" si="12"/>
        <v>33.962407407407404</v>
      </c>
      <c r="H35" s="61">
        <f t="shared" si="12"/>
        <v>29.848055555555558</v>
      </c>
      <c r="I35" s="61">
        <f t="shared" si="12"/>
        <v>26.066574074074072</v>
      </c>
      <c r="J35" s="61">
        <f t="shared" si="12"/>
        <v>22.842037037037034</v>
      </c>
      <c r="K35" s="62">
        <f t="shared" si="12"/>
        <v>18.224166666666665</v>
      </c>
      <c r="N35" s="92">
        <f t="shared" si="1"/>
        <v>2364.0555555555557</v>
      </c>
      <c r="O35" s="92">
        <f t="shared" si="2"/>
        <v>2102.583333333333</v>
      </c>
      <c r="P35" s="92">
        <f t="shared" si="3"/>
        <v>1845.25</v>
      </c>
      <c r="Q35" s="92">
        <f t="shared" si="4"/>
        <v>1522</v>
      </c>
      <c r="R35" s="92">
        <f t="shared" si="5"/>
        <v>2037.7444444444443</v>
      </c>
      <c r="S35" s="92">
        <f t="shared" si="6"/>
        <v>1790.8833333333334</v>
      </c>
      <c r="T35" s="92">
        <f t="shared" si="7"/>
        <v>1563.9944444444443</v>
      </c>
      <c r="U35" s="92">
        <f t="shared" si="8"/>
        <v>1370.5222222222221</v>
      </c>
      <c r="V35" s="92">
        <f t="shared" si="9"/>
        <v>1093.4499999999998</v>
      </c>
    </row>
    <row r="36" spans="1:22" x14ac:dyDescent="0.35">
      <c r="A36" s="59"/>
      <c r="B36" s="15" t="s">
        <v>37</v>
      </c>
      <c r="C36" s="68">
        <f>AVERAGE(C15,C26)</f>
        <v>28.65</v>
      </c>
      <c r="D36" s="63">
        <f t="shared" ref="D36:I36" si="13">AVERAGE(D15,D26)</f>
        <v>22.9</v>
      </c>
      <c r="E36" s="63">
        <f t="shared" si="13"/>
        <v>19.149999999999999</v>
      </c>
      <c r="F36" s="12"/>
      <c r="G36" s="63">
        <f t="shared" si="13"/>
        <v>26.602499999999999</v>
      </c>
      <c r="H36" s="63">
        <f t="shared" si="13"/>
        <v>21.265000000000001</v>
      </c>
      <c r="I36" s="63">
        <f t="shared" si="13"/>
        <v>17.927499999999998</v>
      </c>
      <c r="J36" s="12"/>
      <c r="K36" s="13"/>
      <c r="N36" s="92">
        <f t="shared" si="1"/>
        <v>1719</v>
      </c>
      <c r="O36" s="92">
        <f t="shared" si="2"/>
        <v>1374</v>
      </c>
      <c r="P36" s="92">
        <f t="shared" si="3"/>
        <v>1149</v>
      </c>
      <c r="Q36" s="92">
        <f t="shared" si="4"/>
        <v>0</v>
      </c>
      <c r="R36" s="92">
        <f t="shared" si="5"/>
        <v>1596.1499999999999</v>
      </c>
      <c r="S36" s="92">
        <f t="shared" si="6"/>
        <v>1275.9000000000001</v>
      </c>
      <c r="T36" s="92">
        <f t="shared" si="7"/>
        <v>1075.6499999999999</v>
      </c>
      <c r="U36" s="92">
        <f t="shared" si="8"/>
        <v>0</v>
      </c>
      <c r="V36" s="92">
        <f t="shared" si="9"/>
        <v>0</v>
      </c>
    </row>
    <row r="37" spans="1:22" x14ac:dyDescent="0.35">
      <c r="A37" s="59"/>
      <c r="B37" s="15" t="s">
        <v>112</v>
      </c>
      <c r="C37" s="68">
        <f>C16</f>
        <v>18.666666666666668</v>
      </c>
      <c r="D37" s="63">
        <f t="shared" ref="D37:I37" si="14">D16</f>
        <v>13.166666666666666</v>
      </c>
      <c r="E37" s="63">
        <f t="shared" si="14"/>
        <v>7.666666666666667</v>
      </c>
      <c r="F37" s="12"/>
      <c r="G37" s="63">
        <f t="shared" si="14"/>
        <v>15.866666666666667</v>
      </c>
      <c r="H37" s="63">
        <f t="shared" si="14"/>
        <v>11.191666666666666</v>
      </c>
      <c r="I37" s="63">
        <f t="shared" si="14"/>
        <v>6.5166666666666666</v>
      </c>
      <c r="J37" s="12"/>
      <c r="K37" s="13"/>
      <c r="N37" s="92">
        <f t="shared" si="1"/>
        <v>1120</v>
      </c>
      <c r="O37" s="92">
        <f t="shared" si="2"/>
        <v>790</v>
      </c>
      <c r="P37" s="92">
        <f t="shared" si="3"/>
        <v>460</v>
      </c>
      <c r="Q37" s="92">
        <f t="shared" si="4"/>
        <v>0</v>
      </c>
      <c r="R37" s="92">
        <f t="shared" si="5"/>
        <v>952</v>
      </c>
      <c r="S37" s="92">
        <f t="shared" si="6"/>
        <v>671.5</v>
      </c>
      <c r="T37" s="92">
        <f t="shared" si="7"/>
        <v>391</v>
      </c>
      <c r="U37" s="92">
        <f t="shared" si="8"/>
        <v>0</v>
      </c>
      <c r="V37" s="92">
        <f t="shared" si="9"/>
        <v>0</v>
      </c>
    </row>
    <row r="38" spans="1:22" x14ac:dyDescent="0.35">
      <c r="A38" s="59"/>
      <c r="B38" s="15" t="s">
        <v>48</v>
      </c>
      <c r="C38" s="68">
        <f t="shared" ref="C38:H38" si="15">C23</f>
        <v>17</v>
      </c>
      <c r="D38" s="63">
        <f t="shared" si="15"/>
        <v>15</v>
      </c>
      <c r="E38" s="63">
        <f t="shared" si="15"/>
        <v>13</v>
      </c>
      <c r="F38" s="63">
        <f t="shared" si="15"/>
        <v>11</v>
      </c>
      <c r="G38" s="63">
        <f t="shared" si="15"/>
        <v>17</v>
      </c>
      <c r="H38" s="63">
        <f t="shared" si="15"/>
        <v>15</v>
      </c>
      <c r="I38" s="63">
        <f t="shared" ref="I38:K39" si="16">I23</f>
        <v>13</v>
      </c>
      <c r="J38" s="63">
        <f t="shared" si="16"/>
        <v>11</v>
      </c>
      <c r="K38" s="64">
        <f t="shared" si="16"/>
        <v>10</v>
      </c>
      <c r="N38" s="92">
        <f t="shared" si="1"/>
        <v>1020</v>
      </c>
      <c r="O38" s="92">
        <f t="shared" si="2"/>
        <v>900</v>
      </c>
      <c r="P38" s="92">
        <f t="shared" si="3"/>
        <v>780</v>
      </c>
      <c r="Q38" s="92">
        <f t="shared" si="4"/>
        <v>660</v>
      </c>
      <c r="R38" s="92">
        <f t="shared" si="5"/>
        <v>1020</v>
      </c>
      <c r="S38" s="92">
        <f t="shared" si="6"/>
        <v>900</v>
      </c>
      <c r="T38" s="92">
        <f t="shared" si="7"/>
        <v>780</v>
      </c>
      <c r="U38" s="92">
        <f t="shared" si="8"/>
        <v>660</v>
      </c>
      <c r="V38" s="92">
        <f t="shared" si="9"/>
        <v>600</v>
      </c>
    </row>
    <row r="39" spans="1:22" x14ac:dyDescent="0.35">
      <c r="A39" s="59"/>
      <c r="B39" s="15" t="s">
        <v>49</v>
      </c>
      <c r="C39" s="68">
        <f t="shared" ref="C39:H39" si="17">C24</f>
        <v>19</v>
      </c>
      <c r="D39" s="63">
        <f t="shared" si="17"/>
        <v>17</v>
      </c>
      <c r="E39" s="63">
        <f t="shared" si="17"/>
        <v>15</v>
      </c>
      <c r="F39" s="63">
        <f t="shared" si="17"/>
        <v>12</v>
      </c>
      <c r="G39" s="63">
        <f t="shared" si="17"/>
        <v>19</v>
      </c>
      <c r="H39" s="63">
        <f t="shared" si="17"/>
        <v>17</v>
      </c>
      <c r="I39" s="63">
        <f t="shared" si="16"/>
        <v>15</v>
      </c>
      <c r="J39" s="63">
        <f t="shared" si="16"/>
        <v>12</v>
      </c>
      <c r="K39" s="64">
        <f t="shared" si="16"/>
        <v>10</v>
      </c>
      <c r="N39" s="92">
        <f t="shared" si="1"/>
        <v>1140</v>
      </c>
      <c r="O39" s="92">
        <f t="shared" si="2"/>
        <v>1020</v>
      </c>
      <c r="P39" s="92">
        <f t="shared" si="3"/>
        <v>900</v>
      </c>
      <c r="Q39" s="92">
        <f t="shared" si="4"/>
        <v>720</v>
      </c>
      <c r="R39" s="92">
        <f t="shared" si="5"/>
        <v>1140</v>
      </c>
      <c r="S39" s="92">
        <f t="shared" si="6"/>
        <v>1020</v>
      </c>
      <c r="T39" s="92">
        <f t="shared" si="7"/>
        <v>900</v>
      </c>
      <c r="U39" s="92">
        <f t="shared" si="8"/>
        <v>720</v>
      </c>
      <c r="V39" s="92">
        <f t="shared" si="9"/>
        <v>600</v>
      </c>
    </row>
    <row r="40" spans="1:22" ht="14.5" customHeight="1" x14ac:dyDescent="0.35">
      <c r="A40" s="60"/>
      <c r="B40" s="39" t="s">
        <v>50</v>
      </c>
      <c r="C40" s="69">
        <f t="shared" ref="C40:H40" si="18">C27</f>
        <v>20</v>
      </c>
      <c r="D40" s="65">
        <f t="shared" si="18"/>
        <v>18</v>
      </c>
      <c r="E40" s="65">
        <f t="shared" si="18"/>
        <v>16</v>
      </c>
      <c r="F40" s="65">
        <f t="shared" si="18"/>
        <v>12</v>
      </c>
      <c r="G40" s="65">
        <f t="shared" si="18"/>
        <v>20</v>
      </c>
      <c r="H40" s="65">
        <f t="shared" si="18"/>
        <v>18</v>
      </c>
      <c r="I40" s="65">
        <f>I27</f>
        <v>16</v>
      </c>
      <c r="J40" s="65">
        <f>J27</f>
        <v>12</v>
      </c>
      <c r="K40" s="66">
        <f>K27</f>
        <v>10</v>
      </c>
      <c r="L40" s="85" t="s">
        <v>78</v>
      </c>
      <c r="N40" s="92">
        <f t="shared" si="1"/>
        <v>1200</v>
      </c>
      <c r="O40" s="92">
        <f t="shared" si="2"/>
        <v>1080</v>
      </c>
      <c r="P40" s="92">
        <f t="shared" si="3"/>
        <v>960</v>
      </c>
      <c r="Q40" s="92">
        <f t="shared" si="4"/>
        <v>720</v>
      </c>
      <c r="R40" s="92">
        <f t="shared" si="5"/>
        <v>1200</v>
      </c>
      <c r="S40" s="92">
        <f t="shared" si="6"/>
        <v>1080</v>
      </c>
      <c r="T40" s="92">
        <f t="shared" si="7"/>
        <v>960</v>
      </c>
      <c r="U40" s="92">
        <f t="shared" si="8"/>
        <v>720</v>
      </c>
      <c r="V40" s="92">
        <f t="shared" si="9"/>
        <v>600</v>
      </c>
    </row>
    <row r="41" spans="1:22" x14ac:dyDescent="0.35">
      <c r="A41" s="38"/>
      <c r="B41" s="15"/>
      <c r="C41" s="5"/>
      <c r="D41" s="5"/>
      <c r="E41" s="7"/>
      <c r="F41" s="7"/>
      <c r="G41" s="7"/>
      <c r="H41" s="7"/>
      <c r="I41" s="7"/>
      <c r="J41" s="7"/>
      <c r="K41" s="7"/>
      <c r="L41" s="72"/>
    </row>
  </sheetData>
  <mergeCells count="5">
    <mergeCell ref="L32:L34"/>
    <mergeCell ref="G2:K2"/>
    <mergeCell ref="C2:F2"/>
    <mergeCell ref="C29:F29"/>
    <mergeCell ref="G29:K2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zoomScale="85" zoomScaleNormal="85" workbookViewId="0"/>
  </sheetViews>
  <sheetFormatPr defaultRowHeight="14.5" x14ac:dyDescent="0.35"/>
  <cols>
    <col min="1" max="1" width="27.26953125" customWidth="1"/>
    <col min="2" max="2" width="44.7265625" customWidth="1"/>
    <col min="12" max="12" width="39.7265625" customWidth="1"/>
  </cols>
  <sheetData>
    <row r="1" spans="1:25" ht="18.5" x14ac:dyDescent="0.45">
      <c r="A1" s="40" t="s">
        <v>107</v>
      </c>
      <c r="C1" s="41"/>
      <c r="D1" s="41"/>
      <c r="E1" s="42"/>
      <c r="F1" s="42"/>
      <c r="G1" s="43"/>
      <c r="H1" s="42"/>
      <c r="I1" s="42"/>
      <c r="J1" s="42"/>
      <c r="N1" s="55"/>
      <c r="O1" s="55"/>
      <c r="P1" s="55"/>
      <c r="Q1" s="55"/>
      <c r="R1" s="55"/>
      <c r="S1" s="55"/>
    </row>
    <row r="2" spans="1:25" ht="17.5" x14ac:dyDescent="0.35">
      <c r="A2" s="44" t="s">
        <v>108</v>
      </c>
      <c r="B2" s="44"/>
      <c r="C2" s="287" t="s">
        <v>7</v>
      </c>
      <c r="D2" s="285"/>
      <c r="E2" s="285"/>
      <c r="F2" s="286"/>
      <c r="G2" s="285" t="s">
        <v>8</v>
      </c>
      <c r="H2" s="285"/>
      <c r="I2" s="285"/>
      <c r="J2" s="285"/>
      <c r="K2" s="286"/>
      <c r="L2" s="3" t="s">
        <v>12</v>
      </c>
      <c r="M2" s="8"/>
      <c r="N2" s="55"/>
      <c r="O2" s="55"/>
      <c r="P2" s="55"/>
      <c r="Q2" s="55"/>
      <c r="R2" s="55"/>
      <c r="S2" s="55"/>
    </row>
    <row r="3" spans="1:25" ht="14.5" customHeight="1" x14ac:dyDescent="0.35">
      <c r="A3" s="20" t="s">
        <v>9</v>
      </c>
      <c r="B3" s="51" t="s">
        <v>13</v>
      </c>
      <c r="C3" s="9" t="s">
        <v>65</v>
      </c>
      <c r="D3" s="10" t="s">
        <v>66</v>
      </c>
      <c r="E3" s="10" t="s">
        <v>67</v>
      </c>
      <c r="F3" s="11" t="s">
        <v>68</v>
      </c>
      <c r="G3" s="10" t="s">
        <v>65</v>
      </c>
      <c r="H3" s="10" t="s">
        <v>66</v>
      </c>
      <c r="I3" s="10" t="s">
        <v>67</v>
      </c>
      <c r="J3" s="10" t="s">
        <v>68</v>
      </c>
      <c r="K3" s="11" t="s">
        <v>69</v>
      </c>
      <c r="L3" s="3" t="s">
        <v>71</v>
      </c>
      <c r="M3" s="6"/>
      <c r="N3" s="55"/>
      <c r="O3" s="55"/>
      <c r="P3" s="55"/>
      <c r="Q3" s="55"/>
      <c r="R3" s="55"/>
      <c r="S3" s="55"/>
      <c r="T3" s="56"/>
      <c r="U3" s="56"/>
      <c r="V3" s="56"/>
      <c r="W3" s="56"/>
      <c r="X3" s="56"/>
      <c r="Y3" s="56"/>
    </row>
    <row r="4" spans="1:25" s="37" customFormat="1" x14ac:dyDescent="0.35">
      <c r="A4" s="53" t="s">
        <v>24</v>
      </c>
      <c r="C4" s="291"/>
      <c r="D4" s="291"/>
      <c r="E4" s="291"/>
      <c r="F4" s="291"/>
      <c r="G4" s="291"/>
      <c r="H4" s="291"/>
      <c r="I4" s="291"/>
      <c r="J4" s="291"/>
      <c r="K4" s="291"/>
    </row>
    <row r="5" spans="1:25" x14ac:dyDescent="0.35">
      <c r="A5" s="18" t="s">
        <v>30</v>
      </c>
      <c r="B5" s="17" t="s">
        <v>32</v>
      </c>
      <c r="C5" s="71">
        <v>15</v>
      </c>
      <c r="D5" s="71">
        <v>25</v>
      </c>
      <c r="E5" s="71">
        <v>35</v>
      </c>
      <c r="F5" s="71">
        <v>45</v>
      </c>
      <c r="G5" s="71">
        <v>15</v>
      </c>
      <c r="H5" s="71">
        <v>25</v>
      </c>
      <c r="I5" s="71">
        <v>35</v>
      </c>
      <c r="J5" s="71">
        <v>45</v>
      </c>
      <c r="K5" s="71">
        <v>55</v>
      </c>
      <c r="L5" s="30"/>
    </row>
    <row r="6" spans="1:25" x14ac:dyDescent="0.35">
      <c r="A6" s="38"/>
      <c r="B6" s="15" t="s">
        <v>25</v>
      </c>
      <c r="C6" s="21">
        <f t="shared" ref="C6:K6" si="0">1.295*10^-6*C5^3</f>
        <v>4.3706249999999995E-3</v>
      </c>
      <c r="D6" s="21">
        <f t="shared" si="0"/>
        <v>2.0234374999999999E-2</v>
      </c>
      <c r="E6" s="21">
        <f t="shared" si="0"/>
        <v>5.5523124999999993E-2</v>
      </c>
      <c r="F6" s="21">
        <f t="shared" si="0"/>
        <v>0.11800687499999998</v>
      </c>
      <c r="G6" s="21">
        <f t="shared" si="0"/>
        <v>4.3706249999999995E-3</v>
      </c>
      <c r="H6" s="21">
        <f t="shared" si="0"/>
        <v>2.0234374999999999E-2</v>
      </c>
      <c r="I6" s="21">
        <f t="shared" si="0"/>
        <v>5.5523124999999993E-2</v>
      </c>
      <c r="J6" s="21">
        <f t="shared" si="0"/>
        <v>0.11800687499999998</v>
      </c>
      <c r="K6" s="21">
        <f t="shared" si="0"/>
        <v>0.21545562499999998</v>
      </c>
      <c r="L6" s="30" t="s">
        <v>31</v>
      </c>
    </row>
    <row r="7" spans="1:25" x14ac:dyDescent="0.35">
      <c r="A7" s="38"/>
      <c r="B7" s="15" t="s">
        <v>26</v>
      </c>
      <c r="C7" s="21">
        <f t="shared" ref="C7:K7" si="1">0.193*10^-6*C5^3</f>
        <v>6.5137499999999994E-4</v>
      </c>
      <c r="D7" s="21">
        <f t="shared" si="1"/>
        <v>3.0156250000000001E-3</v>
      </c>
      <c r="E7" s="21">
        <f t="shared" si="1"/>
        <v>8.2748749999999992E-3</v>
      </c>
      <c r="F7" s="21">
        <f t="shared" si="1"/>
        <v>1.7587124999999999E-2</v>
      </c>
      <c r="G7" s="21">
        <f t="shared" si="1"/>
        <v>6.5137499999999994E-4</v>
      </c>
      <c r="H7" s="21">
        <f t="shared" si="1"/>
        <v>3.0156250000000001E-3</v>
      </c>
      <c r="I7" s="21">
        <f t="shared" si="1"/>
        <v>8.2748749999999992E-3</v>
      </c>
      <c r="J7" s="21">
        <f t="shared" si="1"/>
        <v>1.7587124999999999E-2</v>
      </c>
      <c r="K7" s="21">
        <f t="shared" si="1"/>
        <v>3.2110374999999997E-2</v>
      </c>
      <c r="L7" s="30" t="s">
        <v>52</v>
      </c>
    </row>
    <row r="8" spans="1:25" x14ac:dyDescent="0.35">
      <c r="A8" s="37"/>
      <c r="B8" s="37"/>
      <c r="C8" s="37"/>
      <c r="D8" s="37"/>
      <c r="E8" s="37"/>
      <c r="F8" s="37"/>
      <c r="G8" s="37"/>
      <c r="H8" s="37"/>
      <c r="I8" s="37"/>
      <c r="J8" s="37"/>
      <c r="K8" s="37"/>
    </row>
    <row r="9" spans="1:25" x14ac:dyDescent="0.35">
      <c r="A9" s="18" t="s">
        <v>46</v>
      </c>
      <c r="B9" s="17" t="s">
        <v>47</v>
      </c>
      <c r="C9" s="1">
        <v>15</v>
      </c>
      <c r="D9" s="1">
        <v>25</v>
      </c>
      <c r="E9" s="1">
        <v>35</v>
      </c>
      <c r="F9" s="1">
        <v>45</v>
      </c>
      <c r="G9" s="1">
        <v>15</v>
      </c>
      <c r="H9" s="1">
        <v>25</v>
      </c>
      <c r="I9" s="1">
        <v>35</v>
      </c>
      <c r="J9" s="1">
        <v>45</v>
      </c>
      <c r="K9" s="1">
        <v>55</v>
      </c>
    </row>
    <row r="10" spans="1:25" x14ac:dyDescent="0.35">
      <c r="A10" s="37"/>
      <c r="B10" s="4" t="s">
        <v>48</v>
      </c>
      <c r="C10" s="86">
        <f t="shared" ref="C10:K10" si="2">0.000579*C9^2*0.01</f>
        <v>1.3027500000000001E-3</v>
      </c>
      <c r="D10" s="86">
        <f t="shared" si="2"/>
        <v>3.61875E-3</v>
      </c>
      <c r="E10" s="86">
        <f t="shared" si="2"/>
        <v>7.0927500000000001E-3</v>
      </c>
      <c r="F10" s="86">
        <f t="shared" si="2"/>
        <v>1.1724749999999999E-2</v>
      </c>
      <c r="G10" s="86">
        <f t="shared" si="2"/>
        <v>1.3027500000000001E-3</v>
      </c>
      <c r="H10" s="21">
        <f t="shared" si="2"/>
        <v>3.61875E-3</v>
      </c>
      <c r="I10" s="21">
        <f t="shared" si="2"/>
        <v>7.0927500000000001E-3</v>
      </c>
      <c r="J10" s="21">
        <f t="shared" si="2"/>
        <v>1.1724749999999999E-2</v>
      </c>
      <c r="K10" s="21">
        <f t="shared" si="2"/>
        <v>1.7514749999999999E-2</v>
      </c>
      <c r="L10" t="s">
        <v>51</v>
      </c>
      <c r="M10" t="s">
        <v>94</v>
      </c>
    </row>
    <row r="11" spans="1:25" x14ac:dyDescent="0.35">
      <c r="A11" s="37"/>
      <c r="B11" s="4" t="s">
        <v>49</v>
      </c>
      <c r="C11" s="86">
        <f t="shared" ref="C11:H11" si="3">0.000579*C9^2*0.01</f>
        <v>1.3027500000000001E-3</v>
      </c>
      <c r="D11" s="86">
        <f t="shared" si="3"/>
        <v>3.61875E-3</v>
      </c>
      <c r="E11" s="86">
        <f t="shared" si="3"/>
        <v>7.0927500000000001E-3</v>
      </c>
      <c r="F11" s="86">
        <f t="shared" si="3"/>
        <v>1.1724749999999999E-2</v>
      </c>
      <c r="G11" s="86">
        <f t="shared" si="3"/>
        <v>1.3027500000000001E-3</v>
      </c>
      <c r="H11" s="86">
        <f t="shared" si="3"/>
        <v>3.61875E-3</v>
      </c>
      <c r="I11" s="21">
        <f>0.000579*I9^2*0.01</f>
        <v>7.0927500000000001E-3</v>
      </c>
      <c r="J11" s="21">
        <f>0.000579*J9^2*0.01</f>
        <v>1.1724749999999999E-2</v>
      </c>
      <c r="K11" s="21">
        <f>0.000579*K9^2*0.01</f>
        <v>1.7514749999999999E-2</v>
      </c>
      <c r="L11" t="s">
        <v>51</v>
      </c>
      <c r="M11" t="s">
        <v>94</v>
      </c>
    </row>
    <row r="12" spans="1:25" x14ac:dyDescent="0.35">
      <c r="A12" s="37"/>
      <c r="B12" s="4"/>
      <c r="C12" s="31"/>
      <c r="D12" s="31"/>
      <c r="E12" s="31"/>
      <c r="F12" s="31"/>
      <c r="G12" s="31"/>
      <c r="H12" s="21"/>
      <c r="I12" s="21"/>
      <c r="J12" s="21"/>
      <c r="K12" s="21"/>
    </row>
    <row r="13" spans="1:25" x14ac:dyDescent="0.35">
      <c r="A13" s="3"/>
      <c r="B13" s="3"/>
      <c r="C13" s="287" t="s">
        <v>7</v>
      </c>
      <c r="D13" s="285"/>
      <c r="E13" s="285"/>
      <c r="F13" s="286"/>
      <c r="G13" s="288" t="s">
        <v>8</v>
      </c>
      <c r="H13" s="288"/>
      <c r="I13" s="288"/>
      <c r="J13" s="288"/>
      <c r="K13" s="289"/>
      <c r="M13" s="6"/>
    </row>
    <row r="14" spans="1:25" x14ac:dyDescent="0.35">
      <c r="A14" s="48" t="s">
        <v>64</v>
      </c>
      <c r="B14" s="54" t="s">
        <v>70</v>
      </c>
      <c r="C14" s="89" t="s">
        <v>65</v>
      </c>
      <c r="D14" s="90" t="s">
        <v>66</v>
      </c>
      <c r="E14" s="90" t="s">
        <v>67</v>
      </c>
      <c r="F14" s="91" t="s">
        <v>68</v>
      </c>
      <c r="G14" s="90" t="s">
        <v>65</v>
      </c>
      <c r="H14" s="90" t="s">
        <v>66</v>
      </c>
      <c r="I14" s="90" t="s">
        <v>67</v>
      </c>
      <c r="J14" s="90" t="s">
        <v>68</v>
      </c>
      <c r="K14" s="91" t="s">
        <v>69</v>
      </c>
      <c r="M14" s="6"/>
    </row>
    <row r="15" spans="1:25" x14ac:dyDescent="0.35">
      <c r="A15" s="57" t="s">
        <v>11</v>
      </c>
      <c r="B15" s="47" t="s">
        <v>25</v>
      </c>
      <c r="C15" s="73">
        <f>C6</f>
        <v>4.3706249999999995E-3</v>
      </c>
      <c r="D15" s="74">
        <f t="shared" ref="D15:K15" si="4">D6</f>
        <v>2.0234374999999999E-2</v>
      </c>
      <c r="E15" s="74">
        <f t="shared" si="4"/>
        <v>5.5523124999999993E-2</v>
      </c>
      <c r="F15" s="74">
        <f t="shared" si="4"/>
        <v>0.11800687499999998</v>
      </c>
      <c r="G15" s="74">
        <f t="shared" si="4"/>
        <v>4.3706249999999995E-3</v>
      </c>
      <c r="H15" s="74">
        <f t="shared" si="4"/>
        <v>2.0234374999999999E-2</v>
      </c>
      <c r="I15" s="74">
        <f t="shared" si="4"/>
        <v>5.5523124999999993E-2</v>
      </c>
      <c r="J15" s="74">
        <f t="shared" si="4"/>
        <v>0.11800687499999998</v>
      </c>
      <c r="K15" s="75">
        <f t="shared" si="4"/>
        <v>0.21545562499999998</v>
      </c>
      <c r="M15" s="6"/>
    </row>
    <row r="16" spans="1:25" x14ac:dyDescent="0.35">
      <c r="A16" s="58"/>
      <c r="B16" s="33" t="s">
        <v>34</v>
      </c>
      <c r="C16" s="76">
        <f>C19</f>
        <v>6.5137499999999994E-4</v>
      </c>
      <c r="D16" s="77">
        <f>D19</f>
        <v>3.0156250000000001E-3</v>
      </c>
      <c r="E16" s="22"/>
      <c r="F16" s="22"/>
      <c r="G16" s="77">
        <f>G19</f>
        <v>6.5137499999999994E-4</v>
      </c>
      <c r="H16" s="77">
        <f>H19</f>
        <v>3.0156250000000001E-3</v>
      </c>
      <c r="I16" s="22"/>
      <c r="J16" s="22"/>
      <c r="K16" s="23"/>
      <c r="L16" s="290" t="s">
        <v>91</v>
      </c>
      <c r="M16" s="6"/>
    </row>
    <row r="17" spans="1:13" x14ac:dyDescent="0.35">
      <c r="A17" s="58"/>
      <c r="B17" s="33" t="s">
        <v>35</v>
      </c>
      <c r="C17" s="76">
        <f>C19</f>
        <v>6.5137499999999994E-4</v>
      </c>
      <c r="D17" s="77">
        <f t="shared" ref="D17:J17" si="5">D19</f>
        <v>3.0156250000000001E-3</v>
      </c>
      <c r="E17" s="77">
        <f t="shared" si="5"/>
        <v>8.2748749999999992E-3</v>
      </c>
      <c r="F17" s="77">
        <f t="shared" si="5"/>
        <v>1.7587124999999999E-2</v>
      </c>
      <c r="G17" s="77">
        <f t="shared" si="5"/>
        <v>6.5137499999999994E-4</v>
      </c>
      <c r="H17" s="77">
        <f t="shared" si="5"/>
        <v>3.0156250000000001E-3</v>
      </c>
      <c r="I17" s="77">
        <f t="shared" si="5"/>
        <v>8.2748749999999992E-3</v>
      </c>
      <c r="J17" s="77">
        <f t="shared" si="5"/>
        <v>1.7587124999999999E-2</v>
      </c>
      <c r="K17" s="23"/>
      <c r="L17" s="290"/>
      <c r="M17" s="6"/>
    </row>
    <row r="18" spans="1:13" x14ac:dyDescent="0.35">
      <c r="A18" s="58"/>
      <c r="B18" s="33" t="s">
        <v>36</v>
      </c>
      <c r="C18" s="79">
        <f>C19</f>
        <v>6.5137499999999994E-4</v>
      </c>
      <c r="D18" s="80">
        <f t="shared" ref="D18:J18" si="6">D19</f>
        <v>3.0156250000000001E-3</v>
      </c>
      <c r="E18" s="80">
        <f t="shared" si="6"/>
        <v>8.2748749999999992E-3</v>
      </c>
      <c r="F18" s="80">
        <f t="shared" si="6"/>
        <v>1.7587124999999999E-2</v>
      </c>
      <c r="G18" s="80">
        <f t="shared" si="6"/>
        <v>6.5137499999999994E-4</v>
      </c>
      <c r="H18" s="80">
        <f t="shared" si="6"/>
        <v>3.0156250000000001E-3</v>
      </c>
      <c r="I18" s="80">
        <f t="shared" si="6"/>
        <v>8.2748749999999992E-3</v>
      </c>
      <c r="J18" s="80">
        <f t="shared" si="6"/>
        <v>1.7587124999999999E-2</v>
      </c>
      <c r="K18" s="81"/>
      <c r="L18" s="290"/>
      <c r="M18" s="6"/>
    </row>
    <row r="19" spans="1:13" x14ac:dyDescent="0.35">
      <c r="A19" s="57" t="s">
        <v>10</v>
      </c>
      <c r="B19" s="47" t="s">
        <v>26</v>
      </c>
      <c r="C19" s="76">
        <f>C7</f>
        <v>6.5137499999999994E-4</v>
      </c>
      <c r="D19" s="77">
        <f t="shared" ref="D19:K19" si="7">D7</f>
        <v>3.0156250000000001E-3</v>
      </c>
      <c r="E19" s="77">
        <f t="shared" si="7"/>
        <v>8.2748749999999992E-3</v>
      </c>
      <c r="F19" s="77">
        <f t="shared" si="7"/>
        <v>1.7587124999999999E-2</v>
      </c>
      <c r="G19" s="77">
        <f t="shared" si="7"/>
        <v>6.5137499999999994E-4</v>
      </c>
      <c r="H19" s="77">
        <f t="shared" si="7"/>
        <v>3.0156250000000001E-3</v>
      </c>
      <c r="I19" s="77">
        <f t="shared" si="7"/>
        <v>8.2748749999999992E-3</v>
      </c>
      <c r="J19" s="77">
        <f t="shared" si="7"/>
        <v>1.7587124999999999E-2</v>
      </c>
      <c r="K19" s="78">
        <f t="shared" si="7"/>
        <v>3.2110374999999997E-2</v>
      </c>
      <c r="M19" s="6"/>
    </row>
    <row r="20" spans="1:13" x14ac:dyDescent="0.35">
      <c r="A20" s="59"/>
      <c r="B20" s="15" t="s">
        <v>37</v>
      </c>
      <c r="C20" s="76">
        <f>C19</f>
        <v>6.5137499999999994E-4</v>
      </c>
      <c r="D20" s="77">
        <f>D19</f>
        <v>3.0156250000000001E-3</v>
      </c>
      <c r="E20" s="77">
        <f>E19</f>
        <v>8.2748749999999992E-3</v>
      </c>
      <c r="F20" s="22"/>
      <c r="G20" s="77">
        <f>G19</f>
        <v>6.5137499999999994E-4</v>
      </c>
      <c r="H20" s="77">
        <f>H19</f>
        <v>3.0156250000000001E-3</v>
      </c>
      <c r="I20" s="77">
        <f>I19</f>
        <v>8.2748749999999992E-3</v>
      </c>
      <c r="J20" s="22"/>
      <c r="K20" s="23"/>
      <c r="L20" t="s">
        <v>81</v>
      </c>
      <c r="M20" s="6"/>
    </row>
    <row r="21" spans="1:13" x14ac:dyDescent="0.35">
      <c r="A21" s="59"/>
      <c r="B21" s="15" t="s">
        <v>112</v>
      </c>
      <c r="C21" s="76">
        <f>C19</f>
        <v>6.5137499999999994E-4</v>
      </c>
      <c r="D21" s="77">
        <f>D19</f>
        <v>3.0156250000000001E-3</v>
      </c>
      <c r="E21" s="77">
        <f>E19</f>
        <v>8.2748749999999992E-3</v>
      </c>
      <c r="F21" s="22"/>
      <c r="G21" s="77">
        <f>G19</f>
        <v>6.5137499999999994E-4</v>
      </c>
      <c r="H21" s="77">
        <f>H19</f>
        <v>3.0156250000000001E-3</v>
      </c>
      <c r="I21" s="77">
        <f>I19</f>
        <v>8.2748749999999992E-3</v>
      </c>
      <c r="J21" s="22"/>
      <c r="K21" s="23"/>
      <c r="L21" t="s">
        <v>81</v>
      </c>
      <c r="M21" s="6"/>
    </row>
    <row r="22" spans="1:13" x14ac:dyDescent="0.35">
      <c r="A22" s="59"/>
      <c r="B22" s="87" t="s">
        <v>48</v>
      </c>
      <c r="C22" s="77">
        <f t="shared" ref="C22:H22" si="8">C10</f>
        <v>1.3027500000000001E-3</v>
      </c>
      <c r="D22" s="77">
        <f t="shared" si="8"/>
        <v>3.61875E-3</v>
      </c>
      <c r="E22" s="77">
        <f t="shared" si="8"/>
        <v>7.0927500000000001E-3</v>
      </c>
      <c r="F22" s="77">
        <f t="shared" si="8"/>
        <v>1.1724749999999999E-2</v>
      </c>
      <c r="G22" s="77">
        <f t="shared" si="8"/>
        <v>1.3027500000000001E-3</v>
      </c>
      <c r="H22" s="77">
        <f t="shared" si="8"/>
        <v>3.61875E-3</v>
      </c>
      <c r="I22" s="77">
        <f t="shared" ref="I22:K23" si="9">I10</f>
        <v>7.0927500000000001E-3</v>
      </c>
      <c r="J22" s="77">
        <f t="shared" si="9"/>
        <v>1.1724749999999999E-2</v>
      </c>
      <c r="K22" s="78">
        <f t="shared" si="9"/>
        <v>1.7514749999999999E-2</v>
      </c>
      <c r="M22" s="6"/>
    </row>
    <row r="23" spans="1:13" x14ac:dyDescent="0.35">
      <c r="A23" s="59"/>
      <c r="B23" s="87" t="s">
        <v>49</v>
      </c>
      <c r="C23" s="77">
        <f t="shared" ref="C23:H23" si="10">C11</f>
        <v>1.3027500000000001E-3</v>
      </c>
      <c r="D23" s="77">
        <f t="shared" si="10"/>
        <v>3.61875E-3</v>
      </c>
      <c r="E23" s="77">
        <f t="shared" si="10"/>
        <v>7.0927500000000001E-3</v>
      </c>
      <c r="F23" s="77">
        <f t="shared" si="10"/>
        <v>1.1724749999999999E-2</v>
      </c>
      <c r="G23" s="77">
        <f t="shared" si="10"/>
        <v>1.3027500000000001E-3</v>
      </c>
      <c r="H23" s="77">
        <f t="shared" si="10"/>
        <v>3.61875E-3</v>
      </c>
      <c r="I23" s="77">
        <f t="shared" si="9"/>
        <v>7.0927500000000001E-3</v>
      </c>
      <c r="J23" s="77">
        <f t="shared" si="9"/>
        <v>1.1724749999999999E-2</v>
      </c>
      <c r="K23" s="78">
        <f t="shared" si="9"/>
        <v>1.7514749999999999E-2</v>
      </c>
      <c r="M23" s="6"/>
    </row>
    <row r="24" spans="1:13" ht="14.5" customHeight="1" x14ac:dyDescent="0.35">
      <c r="A24" s="60"/>
      <c r="B24" s="39" t="s">
        <v>50</v>
      </c>
      <c r="C24" s="79"/>
      <c r="D24" s="80"/>
      <c r="E24" s="80"/>
      <c r="F24" s="80"/>
      <c r="G24" s="80"/>
      <c r="H24" s="80"/>
      <c r="I24" s="80"/>
      <c r="J24" s="80"/>
      <c r="K24" s="80"/>
      <c r="L24" s="85" t="s">
        <v>78</v>
      </c>
      <c r="M24" s="6"/>
    </row>
    <row r="25" spans="1:13" ht="14.5" customHeight="1" x14ac:dyDescent="0.35">
      <c r="A25" s="38"/>
      <c r="B25" s="33"/>
      <c r="C25" s="7"/>
      <c r="D25" s="7"/>
      <c r="E25" s="7"/>
      <c r="F25" s="7"/>
      <c r="G25" s="7"/>
      <c r="H25" s="7"/>
      <c r="I25" s="7"/>
      <c r="J25" s="7"/>
      <c r="K25" s="7"/>
      <c r="L25" s="72"/>
      <c r="M25" s="6"/>
    </row>
  </sheetData>
  <mergeCells count="7">
    <mergeCell ref="C2:F2"/>
    <mergeCell ref="G2:K2"/>
    <mergeCell ref="L16:L18"/>
    <mergeCell ref="C4:F4"/>
    <mergeCell ref="G4:K4"/>
    <mergeCell ref="C13:F13"/>
    <mergeCell ref="G13:K1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zoomScale="85" zoomScaleNormal="85" workbookViewId="0">
      <selection activeCell="C22" sqref="C22"/>
    </sheetView>
  </sheetViews>
  <sheetFormatPr defaultRowHeight="14.5" x14ac:dyDescent="0.35"/>
  <cols>
    <col min="1" max="1" width="27.26953125" customWidth="1"/>
    <col min="2" max="2" width="42.81640625" customWidth="1"/>
    <col min="12" max="12" width="41" bestFit="1" customWidth="1"/>
  </cols>
  <sheetData>
    <row r="1" spans="1:25" ht="18.5" x14ac:dyDescent="0.45">
      <c r="A1" s="40" t="s">
        <v>109</v>
      </c>
      <c r="C1" s="41"/>
      <c r="D1" s="41"/>
      <c r="E1" s="42"/>
      <c r="F1" s="42"/>
      <c r="G1" s="43"/>
      <c r="H1" s="42"/>
      <c r="I1" s="42"/>
      <c r="J1" s="42"/>
      <c r="N1" s="55"/>
      <c r="O1" s="55"/>
      <c r="P1" s="55"/>
      <c r="Q1" s="55"/>
      <c r="R1" s="55"/>
      <c r="S1" s="55"/>
    </row>
    <row r="2" spans="1:25" ht="15.5" x14ac:dyDescent="0.35">
      <c r="A2" s="44" t="s">
        <v>83</v>
      </c>
      <c r="B2" s="44"/>
      <c r="C2" s="287" t="s">
        <v>7</v>
      </c>
      <c r="D2" s="285"/>
      <c r="E2" s="285"/>
      <c r="F2" s="286"/>
      <c r="G2" s="285" t="s">
        <v>8</v>
      </c>
      <c r="H2" s="285"/>
      <c r="I2" s="285"/>
      <c r="J2" s="285"/>
      <c r="K2" s="286"/>
      <c r="L2" s="3" t="s">
        <v>12</v>
      </c>
      <c r="M2" s="8"/>
      <c r="N2" s="55"/>
      <c r="O2" s="55"/>
      <c r="P2" s="55"/>
      <c r="Q2" s="55"/>
      <c r="R2" s="55"/>
      <c r="S2" s="55"/>
    </row>
    <row r="3" spans="1:25" ht="14.5" customHeight="1" x14ac:dyDescent="0.35">
      <c r="A3" s="20" t="s">
        <v>9</v>
      </c>
      <c r="B3" s="51" t="s">
        <v>13</v>
      </c>
      <c r="C3" s="9" t="s">
        <v>65</v>
      </c>
      <c r="D3" s="10" t="s">
        <v>66</v>
      </c>
      <c r="E3" s="10" t="s">
        <v>67</v>
      </c>
      <c r="F3" s="11" t="s">
        <v>68</v>
      </c>
      <c r="G3" s="10" t="s">
        <v>65</v>
      </c>
      <c r="H3" s="10" t="s">
        <v>66</v>
      </c>
      <c r="I3" s="10" t="s">
        <v>67</v>
      </c>
      <c r="J3" s="10" t="s">
        <v>68</v>
      </c>
      <c r="K3" s="11" t="s">
        <v>69</v>
      </c>
      <c r="L3" s="3" t="s">
        <v>71</v>
      </c>
      <c r="M3" s="6"/>
      <c r="N3" s="55"/>
      <c r="O3" s="55"/>
      <c r="P3" s="55"/>
      <c r="Q3" s="55"/>
      <c r="R3" s="55"/>
      <c r="S3" s="55"/>
      <c r="T3" s="56"/>
      <c r="U3" s="56"/>
      <c r="V3" s="56"/>
      <c r="W3" s="56"/>
      <c r="X3" s="56"/>
      <c r="Y3" s="56"/>
    </row>
    <row r="4" spans="1:25" s="37" customFormat="1" x14ac:dyDescent="0.35">
      <c r="A4" s="53" t="s">
        <v>24</v>
      </c>
      <c r="C4" s="291"/>
      <c r="D4" s="291"/>
      <c r="E4" s="291"/>
      <c r="F4" s="291"/>
      <c r="G4" s="291"/>
      <c r="H4" s="291"/>
      <c r="I4" s="291"/>
      <c r="J4" s="291"/>
      <c r="K4" s="291"/>
    </row>
    <row r="5" spans="1:25" x14ac:dyDescent="0.35">
      <c r="A5" s="18" t="s">
        <v>30</v>
      </c>
      <c r="B5" s="17" t="s">
        <v>32</v>
      </c>
      <c r="C5" s="24" t="s">
        <v>28</v>
      </c>
      <c r="D5" s="19" t="s">
        <v>5</v>
      </c>
      <c r="E5" s="19" t="s">
        <v>27</v>
      </c>
      <c r="F5" s="19"/>
      <c r="G5" s="19" t="s">
        <v>5</v>
      </c>
      <c r="H5" s="19" t="s">
        <v>6</v>
      </c>
      <c r="I5" s="19" t="s">
        <v>29</v>
      </c>
      <c r="J5" s="19"/>
      <c r="K5" s="19"/>
    </row>
    <row r="6" spans="1:25" x14ac:dyDescent="0.35">
      <c r="A6" s="38"/>
      <c r="B6" s="15" t="s">
        <v>25</v>
      </c>
      <c r="C6" s="7">
        <v>0.12</v>
      </c>
      <c r="D6" s="7">
        <v>0.57999999999999996</v>
      </c>
      <c r="E6" s="7">
        <v>0.74</v>
      </c>
      <c r="F6" s="7"/>
      <c r="G6" s="7">
        <v>0.57999999999999996</v>
      </c>
      <c r="H6" s="7">
        <v>0.74</v>
      </c>
      <c r="I6" s="7">
        <v>0.8</v>
      </c>
      <c r="J6" s="7"/>
      <c r="K6" s="7"/>
    </row>
    <row r="7" spans="1:25" x14ac:dyDescent="0.35">
      <c r="A7" s="38"/>
      <c r="B7" s="15" t="s">
        <v>26</v>
      </c>
      <c r="C7" s="7">
        <v>0.11</v>
      </c>
      <c r="D7" s="7">
        <v>0.14000000000000001</v>
      </c>
      <c r="E7" s="7">
        <v>0.3</v>
      </c>
      <c r="F7" s="7"/>
      <c r="G7" s="7">
        <v>0.14000000000000001</v>
      </c>
      <c r="H7" s="7">
        <v>0.3</v>
      </c>
      <c r="I7" s="7">
        <v>0.45</v>
      </c>
      <c r="J7" s="7"/>
      <c r="K7" s="7"/>
    </row>
    <row r="8" spans="1:25" x14ac:dyDescent="0.35">
      <c r="A8" s="37"/>
      <c r="B8" s="37"/>
      <c r="C8" s="37"/>
      <c r="D8" s="37"/>
      <c r="E8" s="37"/>
      <c r="F8" s="37"/>
      <c r="G8" s="37"/>
      <c r="H8" s="37"/>
      <c r="I8" s="37"/>
      <c r="J8" s="37"/>
      <c r="K8" s="37"/>
    </row>
    <row r="9" spans="1:25" x14ac:dyDescent="0.35">
      <c r="A9" s="18" t="s">
        <v>46</v>
      </c>
      <c r="B9" s="17" t="s">
        <v>47</v>
      </c>
      <c r="C9" s="1" t="s">
        <v>65</v>
      </c>
      <c r="D9" s="1" t="s">
        <v>66</v>
      </c>
      <c r="E9" s="1" t="s">
        <v>67</v>
      </c>
      <c r="F9" s="1" t="s">
        <v>68</v>
      </c>
      <c r="G9" s="1" t="s">
        <v>65</v>
      </c>
      <c r="H9" s="1" t="s">
        <v>66</v>
      </c>
      <c r="I9" s="1" t="s">
        <v>67</v>
      </c>
      <c r="J9" s="1" t="s">
        <v>68</v>
      </c>
      <c r="K9" s="1" t="s">
        <v>69</v>
      </c>
    </row>
    <row r="10" spans="1:25" x14ac:dyDescent="0.35">
      <c r="A10" s="37"/>
      <c r="B10" s="33" t="s">
        <v>34</v>
      </c>
      <c r="C10" s="7">
        <v>0.1</v>
      </c>
      <c r="D10" s="7">
        <v>0.06</v>
      </c>
      <c r="E10" s="281"/>
      <c r="F10" s="281"/>
      <c r="G10" s="45">
        <v>0.1</v>
      </c>
      <c r="H10" s="45">
        <v>0.06</v>
      </c>
      <c r="I10" s="281"/>
      <c r="J10" s="281"/>
      <c r="K10" s="281"/>
      <c r="L10" t="s">
        <v>90</v>
      </c>
    </row>
    <row r="11" spans="1:25" x14ac:dyDescent="0.35">
      <c r="A11" s="37"/>
      <c r="B11" s="33" t="s">
        <v>36</v>
      </c>
      <c r="C11" s="45">
        <v>0.03</v>
      </c>
      <c r="D11" s="7">
        <v>0.03</v>
      </c>
      <c r="E11" s="7">
        <v>0.04</v>
      </c>
      <c r="F11" s="45">
        <v>0.05</v>
      </c>
      <c r="G11" s="45">
        <v>0.03</v>
      </c>
      <c r="H11" s="45">
        <v>0.03</v>
      </c>
      <c r="I11" s="45">
        <v>0.04</v>
      </c>
      <c r="J11" s="45">
        <v>0.05</v>
      </c>
      <c r="K11" s="281"/>
      <c r="L11" t="s">
        <v>89</v>
      </c>
    </row>
    <row r="12" spans="1:25" x14ac:dyDescent="0.35">
      <c r="A12" s="37"/>
      <c r="B12" s="33" t="s">
        <v>35</v>
      </c>
      <c r="C12" s="45">
        <v>0.05</v>
      </c>
      <c r="D12" s="7">
        <v>0.05</v>
      </c>
      <c r="E12" s="7">
        <v>0.05</v>
      </c>
      <c r="F12" s="45">
        <v>0.05</v>
      </c>
      <c r="G12" s="45">
        <v>0.05</v>
      </c>
      <c r="H12" s="45">
        <v>0.05</v>
      </c>
      <c r="I12" s="45">
        <v>0.05</v>
      </c>
      <c r="J12" s="45">
        <v>0.05</v>
      </c>
      <c r="K12" s="281"/>
      <c r="L12" t="s">
        <v>89</v>
      </c>
    </row>
    <row r="13" spans="1:25" x14ac:dyDescent="0.35">
      <c r="A13" s="37"/>
      <c r="B13" s="15" t="s">
        <v>25</v>
      </c>
      <c r="C13" s="7">
        <v>0.5</v>
      </c>
      <c r="D13" s="7">
        <v>0.7</v>
      </c>
      <c r="E13" s="7">
        <v>0.75</v>
      </c>
      <c r="F13" s="7">
        <v>0.85</v>
      </c>
      <c r="G13" s="45">
        <v>0.5</v>
      </c>
      <c r="H13" s="45">
        <v>0.7</v>
      </c>
      <c r="I13" s="45">
        <v>0.75</v>
      </c>
      <c r="J13" s="45">
        <v>0.85</v>
      </c>
      <c r="K13" s="45">
        <v>0.9</v>
      </c>
      <c r="L13" t="s">
        <v>77</v>
      </c>
    </row>
    <row r="14" spans="1:25" x14ac:dyDescent="0.35">
      <c r="A14" s="37"/>
      <c r="B14" s="15" t="s">
        <v>48</v>
      </c>
      <c r="C14" s="45">
        <v>0.2</v>
      </c>
      <c r="D14" s="45">
        <v>0.3</v>
      </c>
      <c r="E14" s="45">
        <v>0.5</v>
      </c>
      <c r="F14" s="45">
        <v>0.7</v>
      </c>
      <c r="G14" s="45">
        <v>0.2</v>
      </c>
      <c r="H14" s="7">
        <v>0.3</v>
      </c>
      <c r="I14" s="7">
        <v>0.5</v>
      </c>
      <c r="J14" s="7">
        <v>0.7</v>
      </c>
      <c r="K14" s="7">
        <v>1</v>
      </c>
      <c r="L14" t="s">
        <v>88</v>
      </c>
    </row>
    <row r="15" spans="1:25" x14ac:dyDescent="0.35">
      <c r="A15" s="37"/>
      <c r="B15" s="15" t="s">
        <v>49</v>
      </c>
      <c r="C15" s="45">
        <v>0.2</v>
      </c>
      <c r="D15" s="45">
        <v>0.3</v>
      </c>
      <c r="E15" s="45">
        <v>0.5</v>
      </c>
      <c r="F15" s="45">
        <v>0.6</v>
      </c>
      <c r="G15" s="45">
        <v>0.2</v>
      </c>
      <c r="H15" s="45">
        <v>0.3</v>
      </c>
      <c r="I15" s="7">
        <v>0.5</v>
      </c>
      <c r="J15" s="7">
        <v>0.6</v>
      </c>
      <c r="K15" s="7">
        <v>0.75</v>
      </c>
      <c r="L15" t="s">
        <v>88</v>
      </c>
    </row>
    <row r="16" spans="1:25" x14ac:dyDescent="0.35">
      <c r="A16" s="37"/>
      <c r="B16" s="15" t="s">
        <v>26</v>
      </c>
      <c r="C16" s="7">
        <v>0.3</v>
      </c>
      <c r="D16" s="7">
        <v>0.4</v>
      </c>
      <c r="E16" s="7">
        <v>0.5</v>
      </c>
      <c r="F16" s="7">
        <v>0.6</v>
      </c>
      <c r="G16" s="45">
        <v>0.3</v>
      </c>
      <c r="H16" s="45">
        <v>0.4</v>
      </c>
      <c r="I16" s="45">
        <v>0.5</v>
      </c>
      <c r="J16" s="45">
        <v>0.6</v>
      </c>
      <c r="K16" s="45">
        <v>0.7</v>
      </c>
      <c r="L16" t="s">
        <v>77</v>
      </c>
    </row>
    <row r="17" spans="1:13" x14ac:dyDescent="0.35">
      <c r="A17" s="37"/>
      <c r="B17" s="15" t="s">
        <v>37</v>
      </c>
      <c r="C17" s="7">
        <v>0.15</v>
      </c>
      <c r="D17" s="7">
        <v>0.22</v>
      </c>
      <c r="E17" s="7">
        <v>0.27</v>
      </c>
      <c r="F17" s="281"/>
      <c r="G17" s="45">
        <v>0.15</v>
      </c>
      <c r="H17" s="45">
        <v>0.22</v>
      </c>
      <c r="I17" s="45">
        <v>0.27</v>
      </c>
      <c r="J17" s="7"/>
      <c r="K17" s="7"/>
    </row>
    <row r="18" spans="1:13" x14ac:dyDescent="0.35">
      <c r="A18" s="37"/>
      <c r="B18" s="33" t="s">
        <v>50</v>
      </c>
      <c r="C18" s="45">
        <v>0.02</v>
      </c>
      <c r="D18" s="45">
        <v>0.02</v>
      </c>
      <c r="E18" s="45">
        <v>0.02</v>
      </c>
      <c r="F18" s="45">
        <v>0.02</v>
      </c>
      <c r="G18" s="45">
        <v>0.02</v>
      </c>
      <c r="H18" s="45">
        <v>0.02</v>
      </c>
      <c r="I18" s="7">
        <v>0.02</v>
      </c>
      <c r="J18" s="7">
        <v>0.02</v>
      </c>
      <c r="K18" s="7">
        <v>0.02</v>
      </c>
    </row>
    <row r="19" spans="1:13" x14ac:dyDescent="0.35">
      <c r="A19" s="37"/>
      <c r="B19" s="33"/>
      <c r="C19" s="31"/>
      <c r="D19" s="7"/>
      <c r="E19" s="7"/>
      <c r="F19" s="7"/>
      <c r="G19" s="7"/>
      <c r="H19" s="7"/>
      <c r="I19" s="5"/>
      <c r="J19" s="5"/>
      <c r="K19" s="5"/>
    </row>
    <row r="20" spans="1:13" x14ac:dyDescent="0.35">
      <c r="A20" s="3"/>
      <c r="B20" s="3"/>
      <c r="C20" s="287" t="s">
        <v>7</v>
      </c>
      <c r="D20" s="285"/>
      <c r="E20" s="285"/>
      <c r="F20" s="286"/>
      <c r="G20" s="288" t="s">
        <v>8</v>
      </c>
      <c r="H20" s="288"/>
      <c r="I20" s="288"/>
      <c r="J20" s="288"/>
      <c r="K20" s="289"/>
      <c r="M20" s="6"/>
    </row>
    <row r="21" spans="1:13" x14ac:dyDescent="0.35">
      <c r="A21" s="46" t="s">
        <v>64</v>
      </c>
      <c r="B21" s="54" t="s">
        <v>70</v>
      </c>
      <c r="C21" s="9" t="s">
        <v>65</v>
      </c>
      <c r="D21" s="10" t="s">
        <v>66</v>
      </c>
      <c r="E21" s="10" t="s">
        <v>67</v>
      </c>
      <c r="F21" s="11" t="s">
        <v>68</v>
      </c>
      <c r="G21" s="10" t="s">
        <v>65</v>
      </c>
      <c r="H21" s="10" t="s">
        <v>66</v>
      </c>
      <c r="I21" s="10" t="s">
        <v>67</v>
      </c>
      <c r="J21" s="10" t="s">
        <v>68</v>
      </c>
      <c r="K21" s="11" t="s">
        <v>69</v>
      </c>
      <c r="M21" s="6"/>
    </row>
    <row r="22" spans="1:13" x14ac:dyDescent="0.35">
      <c r="A22" s="57" t="s">
        <v>11</v>
      </c>
      <c r="B22" s="82" t="s">
        <v>25</v>
      </c>
      <c r="C22" s="63">
        <f>AVERAGE(C6,C13)</f>
        <v>0.31</v>
      </c>
      <c r="D22" s="63">
        <f t="shared" ref="D22:I22" si="0">AVERAGE(D6,D13)</f>
        <v>0.6399999999999999</v>
      </c>
      <c r="E22" s="63">
        <f t="shared" si="0"/>
        <v>0.745</v>
      </c>
      <c r="F22" s="63">
        <f t="shared" si="0"/>
        <v>0.85</v>
      </c>
      <c r="G22" s="63">
        <f t="shared" si="0"/>
        <v>0.54</v>
      </c>
      <c r="H22" s="63">
        <f t="shared" si="0"/>
        <v>0.72</v>
      </c>
      <c r="I22" s="63">
        <f t="shared" si="0"/>
        <v>0.77500000000000002</v>
      </c>
      <c r="J22" s="63">
        <f>AVERAGE(J6,J13)</f>
        <v>0.85</v>
      </c>
      <c r="K22" s="62">
        <f>AVERAGE(K6,K13)</f>
        <v>0.9</v>
      </c>
      <c r="M22" s="6"/>
    </row>
    <row r="23" spans="1:13" x14ac:dyDescent="0.35">
      <c r="A23" s="58"/>
      <c r="B23" s="83" t="s">
        <v>34</v>
      </c>
      <c r="C23" s="63">
        <f t="shared" ref="C23:D23" si="1">C10</f>
        <v>0.1</v>
      </c>
      <c r="D23" s="63">
        <f t="shared" si="1"/>
        <v>0.06</v>
      </c>
      <c r="E23" s="12"/>
      <c r="F23" s="12"/>
      <c r="G23" s="63">
        <f>G10</f>
        <v>0.1</v>
      </c>
      <c r="H23" s="63">
        <f>H10</f>
        <v>0.06</v>
      </c>
      <c r="I23" s="12"/>
      <c r="J23" s="12"/>
      <c r="K23" s="13"/>
      <c r="L23" s="284" t="s">
        <v>76</v>
      </c>
      <c r="M23" s="6"/>
    </row>
    <row r="24" spans="1:13" x14ac:dyDescent="0.35">
      <c r="A24" s="58"/>
      <c r="B24" s="83" t="s">
        <v>35</v>
      </c>
      <c r="C24" s="63">
        <f>C12</f>
        <v>0.05</v>
      </c>
      <c r="D24" s="63">
        <f t="shared" ref="D24:J24" si="2">D12</f>
        <v>0.05</v>
      </c>
      <c r="E24" s="63">
        <f t="shared" si="2"/>
        <v>0.05</v>
      </c>
      <c r="F24" s="63">
        <f t="shared" si="2"/>
        <v>0.05</v>
      </c>
      <c r="G24" s="63">
        <f t="shared" si="2"/>
        <v>0.05</v>
      </c>
      <c r="H24" s="63">
        <f t="shared" si="2"/>
        <v>0.05</v>
      </c>
      <c r="I24" s="63">
        <f t="shared" si="2"/>
        <v>0.05</v>
      </c>
      <c r="J24" s="63">
        <f t="shared" si="2"/>
        <v>0.05</v>
      </c>
      <c r="K24" s="13"/>
      <c r="L24" s="284"/>
      <c r="M24" s="6"/>
    </row>
    <row r="25" spans="1:13" x14ac:dyDescent="0.35">
      <c r="A25" s="58"/>
      <c r="B25" s="84" t="s">
        <v>36</v>
      </c>
      <c r="C25" s="63">
        <f>C11</f>
        <v>0.03</v>
      </c>
      <c r="D25" s="63">
        <f t="shared" ref="D25:J25" si="3">D11</f>
        <v>0.03</v>
      </c>
      <c r="E25" s="63">
        <f t="shared" si="3"/>
        <v>0.04</v>
      </c>
      <c r="F25" s="63">
        <f t="shared" si="3"/>
        <v>0.05</v>
      </c>
      <c r="G25" s="63">
        <f t="shared" si="3"/>
        <v>0.03</v>
      </c>
      <c r="H25" s="63">
        <f t="shared" si="3"/>
        <v>0.03</v>
      </c>
      <c r="I25" s="63">
        <f t="shared" si="3"/>
        <v>0.04</v>
      </c>
      <c r="J25" s="63">
        <f t="shared" si="3"/>
        <v>0.05</v>
      </c>
      <c r="K25" s="13"/>
      <c r="L25" s="284"/>
      <c r="M25" s="6"/>
    </row>
    <row r="26" spans="1:13" x14ac:dyDescent="0.35">
      <c r="A26" s="57" t="s">
        <v>10</v>
      </c>
      <c r="B26" s="47" t="s">
        <v>26</v>
      </c>
      <c r="C26" s="67">
        <f>AVERAGE(C7,C16)</f>
        <v>0.20499999999999999</v>
      </c>
      <c r="D26" s="61">
        <f t="shared" ref="D26:K26" si="4">AVERAGE(D7,D16)</f>
        <v>0.27</v>
      </c>
      <c r="E26" s="61">
        <f t="shared" si="4"/>
        <v>0.4</v>
      </c>
      <c r="F26" s="61">
        <f t="shared" si="4"/>
        <v>0.6</v>
      </c>
      <c r="G26" s="61">
        <f t="shared" si="4"/>
        <v>0.22</v>
      </c>
      <c r="H26" s="61">
        <f t="shared" si="4"/>
        <v>0.35</v>
      </c>
      <c r="I26" s="61">
        <f t="shared" si="4"/>
        <v>0.47499999999999998</v>
      </c>
      <c r="J26" s="61">
        <f t="shared" si="4"/>
        <v>0.6</v>
      </c>
      <c r="K26" s="62">
        <f t="shared" si="4"/>
        <v>0.7</v>
      </c>
      <c r="M26" s="6"/>
    </row>
    <row r="27" spans="1:13" x14ac:dyDescent="0.35">
      <c r="A27" s="59"/>
      <c r="B27" s="15" t="s">
        <v>37</v>
      </c>
      <c r="C27" s="68">
        <f>C17</f>
        <v>0.15</v>
      </c>
      <c r="D27" s="63">
        <f t="shared" ref="D27:I27" si="5">D17</f>
        <v>0.22</v>
      </c>
      <c r="E27" s="63">
        <f t="shared" si="5"/>
        <v>0.27</v>
      </c>
      <c r="F27" s="12"/>
      <c r="G27" s="63">
        <f>G17</f>
        <v>0.15</v>
      </c>
      <c r="H27" s="63">
        <f t="shared" si="5"/>
        <v>0.22</v>
      </c>
      <c r="I27" s="63">
        <f t="shared" si="5"/>
        <v>0.27</v>
      </c>
      <c r="J27" s="12"/>
      <c r="K27" s="13"/>
      <c r="M27" s="6"/>
    </row>
    <row r="28" spans="1:13" x14ac:dyDescent="0.35">
      <c r="A28" s="59"/>
      <c r="B28" s="15" t="s">
        <v>112</v>
      </c>
      <c r="C28" s="68">
        <f>C27</f>
        <v>0.15</v>
      </c>
      <c r="D28" s="63">
        <f t="shared" ref="D28:I28" si="6">D27</f>
        <v>0.22</v>
      </c>
      <c r="E28" s="63">
        <f t="shared" si="6"/>
        <v>0.27</v>
      </c>
      <c r="F28" s="12"/>
      <c r="G28" s="63">
        <f t="shared" si="6"/>
        <v>0.15</v>
      </c>
      <c r="H28" s="63">
        <f t="shared" si="6"/>
        <v>0.22</v>
      </c>
      <c r="I28" s="63">
        <f t="shared" si="6"/>
        <v>0.27</v>
      </c>
      <c r="J28" s="12"/>
      <c r="K28" s="13"/>
      <c r="L28" t="s">
        <v>80</v>
      </c>
      <c r="M28" s="6"/>
    </row>
    <row r="29" spans="1:13" x14ac:dyDescent="0.35">
      <c r="A29" s="59"/>
      <c r="B29" s="15" t="s">
        <v>48</v>
      </c>
      <c r="C29" s="68">
        <f t="shared" ref="C29:G29" si="7">C14</f>
        <v>0.2</v>
      </c>
      <c r="D29" s="63">
        <f t="shared" si="7"/>
        <v>0.3</v>
      </c>
      <c r="E29" s="63">
        <f t="shared" si="7"/>
        <v>0.5</v>
      </c>
      <c r="F29" s="63">
        <f t="shared" si="7"/>
        <v>0.7</v>
      </c>
      <c r="G29" s="63">
        <f t="shared" si="7"/>
        <v>0.2</v>
      </c>
      <c r="H29" s="63">
        <f>H14</f>
        <v>0.3</v>
      </c>
      <c r="I29" s="63">
        <f>I14</f>
        <v>0.5</v>
      </c>
      <c r="J29" s="63">
        <f>J14</f>
        <v>0.7</v>
      </c>
      <c r="K29" s="64">
        <f>K14</f>
        <v>1</v>
      </c>
      <c r="M29" s="6"/>
    </row>
    <row r="30" spans="1:13" x14ac:dyDescent="0.35">
      <c r="A30" s="59"/>
      <c r="B30" s="15" t="s">
        <v>49</v>
      </c>
      <c r="C30" s="68">
        <f t="shared" ref="C30:H30" si="8">C15</f>
        <v>0.2</v>
      </c>
      <c r="D30" s="63">
        <f t="shared" si="8"/>
        <v>0.3</v>
      </c>
      <c r="E30" s="63">
        <f t="shared" si="8"/>
        <v>0.5</v>
      </c>
      <c r="F30" s="63">
        <f t="shared" si="8"/>
        <v>0.6</v>
      </c>
      <c r="G30" s="63">
        <f t="shared" si="8"/>
        <v>0.2</v>
      </c>
      <c r="H30" s="63">
        <f t="shared" si="8"/>
        <v>0.3</v>
      </c>
      <c r="I30" s="63">
        <f>I15</f>
        <v>0.5</v>
      </c>
      <c r="J30" s="63">
        <f>J15</f>
        <v>0.6</v>
      </c>
      <c r="K30" s="64">
        <f>K15</f>
        <v>0.75</v>
      </c>
      <c r="M30" s="6"/>
    </row>
    <row r="31" spans="1:13" ht="14.5" customHeight="1" x14ac:dyDescent="0.35">
      <c r="A31" s="60"/>
      <c r="B31" s="39" t="s">
        <v>50</v>
      </c>
      <c r="C31" s="69">
        <f t="shared" ref="C31:H31" si="9">C18</f>
        <v>0.02</v>
      </c>
      <c r="D31" s="65">
        <f t="shared" si="9"/>
        <v>0.02</v>
      </c>
      <c r="E31" s="65">
        <f t="shared" si="9"/>
        <v>0.02</v>
      </c>
      <c r="F31" s="65">
        <f t="shared" si="9"/>
        <v>0.02</v>
      </c>
      <c r="G31" s="65">
        <f t="shared" si="9"/>
        <v>0.02</v>
      </c>
      <c r="H31" s="65">
        <f t="shared" si="9"/>
        <v>0.02</v>
      </c>
      <c r="I31" s="65">
        <f>I18</f>
        <v>0.02</v>
      </c>
      <c r="J31" s="65">
        <f>J18</f>
        <v>0.02</v>
      </c>
      <c r="K31" s="66">
        <f>K18</f>
        <v>0.02</v>
      </c>
      <c r="L31" s="85" t="s">
        <v>78</v>
      </c>
      <c r="M31" s="6"/>
    </row>
    <row r="32" spans="1:13" ht="14.5" customHeight="1" x14ac:dyDescent="0.35">
      <c r="A32" s="38"/>
      <c r="B32" s="33"/>
      <c r="C32" s="21"/>
      <c r="D32" s="21"/>
      <c r="E32" s="21"/>
      <c r="F32" s="21"/>
      <c r="G32" s="21"/>
      <c r="H32" s="21"/>
      <c r="I32" s="21"/>
      <c r="J32" s="21"/>
      <c r="K32" s="21"/>
      <c r="L32" s="72"/>
      <c r="M32" s="6"/>
    </row>
  </sheetData>
  <mergeCells count="7">
    <mergeCell ref="L23:L25"/>
    <mergeCell ref="C2:F2"/>
    <mergeCell ref="G2:K2"/>
    <mergeCell ref="C4:F4"/>
    <mergeCell ref="G4:K4"/>
    <mergeCell ref="C20:F20"/>
    <mergeCell ref="G20:K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9"/>
  <sheetViews>
    <sheetView topLeftCell="C1" zoomScale="80" zoomScaleNormal="80" workbookViewId="0">
      <selection activeCell="C5" sqref="C5"/>
    </sheetView>
  </sheetViews>
  <sheetFormatPr defaultRowHeight="14.5" x14ac:dyDescent="0.35"/>
  <cols>
    <col min="1" max="1" width="3.81640625" style="133" customWidth="1"/>
    <col min="2" max="2" width="2.81640625" style="107" customWidth="1"/>
    <col min="3" max="3" width="45.7265625" style="107" bestFit="1" customWidth="1"/>
    <col min="4" max="12" width="10.7265625" style="107" customWidth="1"/>
    <col min="13" max="13" width="12.54296875" style="107" customWidth="1"/>
    <col min="14" max="14" width="14.453125" style="107" customWidth="1"/>
    <col min="15" max="24" width="8.7265625" style="107"/>
    <col min="25" max="25" width="14.54296875" style="107" bestFit="1" customWidth="1"/>
    <col min="26" max="16384" width="8.7265625" style="107"/>
  </cols>
  <sheetData>
    <row r="1" spans="1:25" ht="15" thickBot="1" x14ac:dyDescent="0.4">
      <c r="A1" s="104"/>
      <c r="B1" s="105"/>
      <c r="C1" s="105"/>
      <c r="D1" s="105"/>
      <c r="E1" s="105"/>
      <c r="F1" s="105"/>
      <c r="G1" s="105"/>
      <c r="H1" s="105"/>
      <c r="I1" s="105"/>
      <c r="J1" s="105"/>
      <c r="K1" s="105"/>
      <c r="L1" s="105"/>
      <c r="M1" s="105"/>
      <c r="N1" s="105"/>
      <c r="O1" s="105"/>
      <c r="P1" s="105"/>
      <c r="Q1" s="105"/>
      <c r="R1" s="105"/>
      <c r="S1" s="105"/>
      <c r="T1" s="105"/>
      <c r="U1" s="105"/>
      <c r="V1" s="105"/>
      <c r="W1" s="105"/>
      <c r="X1" s="106"/>
    </row>
    <row r="2" spans="1:25" ht="15" thickBot="1" x14ac:dyDescent="0.4">
      <c r="A2" s="108"/>
      <c r="B2" s="109"/>
      <c r="C2" s="318" t="s">
        <v>82</v>
      </c>
      <c r="D2" s="319"/>
      <c r="E2" s="319"/>
      <c r="F2" s="319"/>
      <c r="G2" s="319"/>
      <c r="H2" s="319"/>
      <c r="I2" s="319"/>
      <c r="J2" s="319"/>
      <c r="K2" s="319"/>
      <c r="L2" s="319"/>
      <c r="M2" s="319"/>
      <c r="N2" s="319"/>
      <c r="O2" s="319"/>
      <c r="P2" s="319"/>
      <c r="Q2" s="319"/>
      <c r="R2" s="319"/>
      <c r="S2" s="319"/>
      <c r="T2" s="320"/>
      <c r="U2" s="109"/>
      <c r="V2" s="109"/>
      <c r="W2" s="109"/>
      <c r="X2" s="110"/>
    </row>
    <row r="3" spans="1:25" ht="15" customHeight="1" x14ac:dyDescent="0.35">
      <c r="A3" s="108"/>
      <c r="B3" s="109"/>
      <c r="C3" s="111"/>
      <c r="D3" s="321" t="s">
        <v>7</v>
      </c>
      <c r="E3" s="298"/>
      <c r="F3" s="298"/>
      <c r="G3" s="322"/>
      <c r="H3" s="321" t="s">
        <v>8</v>
      </c>
      <c r="I3" s="298"/>
      <c r="J3" s="298"/>
      <c r="K3" s="298"/>
      <c r="L3" s="299"/>
      <c r="M3" s="323" t="s">
        <v>95</v>
      </c>
      <c r="N3" s="324"/>
      <c r="O3" s="324"/>
      <c r="P3" s="324"/>
      <c r="Q3" s="324"/>
      <c r="R3" s="324"/>
      <c r="S3" s="324"/>
      <c r="T3" s="325"/>
      <c r="U3" s="109"/>
      <c r="V3" s="109"/>
      <c r="W3" s="109"/>
      <c r="X3" s="110"/>
    </row>
    <row r="4" spans="1:25" ht="15" thickBot="1" x14ac:dyDescent="0.4">
      <c r="A4" s="108"/>
      <c r="B4" s="109"/>
      <c r="C4" s="112" t="s">
        <v>113</v>
      </c>
      <c r="D4" s="113" t="s">
        <v>0</v>
      </c>
      <c r="E4" s="113" t="s">
        <v>1</v>
      </c>
      <c r="F4" s="113" t="s">
        <v>2</v>
      </c>
      <c r="G4" s="113" t="s">
        <v>3</v>
      </c>
      <c r="H4" s="113" t="s">
        <v>0</v>
      </c>
      <c r="I4" s="113" t="s">
        <v>1</v>
      </c>
      <c r="J4" s="113" t="s">
        <v>2</v>
      </c>
      <c r="K4" s="113" t="s">
        <v>3</v>
      </c>
      <c r="L4" s="114" t="s">
        <v>4</v>
      </c>
      <c r="M4" s="326"/>
      <c r="N4" s="327"/>
      <c r="O4" s="327"/>
      <c r="P4" s="327"/>
      <c r="Q4" s="327"/>
      <c r="R4" s="327"/>
      <c r="S4" s="327"/>
      <c r="T4" s="328"/>
      <c r="U4" s="109"/>
      <c r="V4" s="109"/>
      <c r="W4" s="109"/>
      <c r="X4" s="110"/>
      <c r="Y4" s="115"/>
    </row>
    <row r="5" spans="1:25" x14ac:dyDescent="0.35">
      <c r="A5" s="108"/>
      <c r="B5" s="109"/>
      <c r="C5" s="116" t="s">
        <v>25</v>
      </c>
      <c r="D5" s="276">
        <f>O59</f>
        <v>5.8511257973718473</v>
      </c>
      <c r="E5" s="118">
        <f t="shared" ref="E5:L14" si="0">P59</f>
        <v>50.631077912771978</v>
      </c>
      <c r="F5" s="118">
        <f t="shared" si="0"/>
        <v>133.00142379830501</v>
      </c>
      <c r="G5" s="119">
        <f t="shared" si="0"/>
        <v>252.40363703788492</v>
      </c>
      <c r="H5" s="120">
        <f t="shared" si="0"/>
        <v>9.0366882269394484</v>
      </c>
      <c r="I5" s="120">
        <f t="shared" si="0"/>
        <v>43.48491602723454</v>
      </c>
      <c r="J5" s="120">
        <f t="shared" si="0"/>
        <v>92.116650221279698</v>
      </c>
      <c r="K5" s="120">
        <f t="shared" si="0"/>
        <v>171.64793571961508</v>
      </c>
      <c r="L5" s="121">
        <f t="shared" si="0"/>
        <v>248.54579267239146</v>
      </c>
      <c r="M5" s="329"/>
      <c r="N5" s="329"/>
      <c r="O5" s="329"/>
      <c r="P5" s="329"/>
      <c r="Q5" s="329"/>
      <c r="R5" s="329"/>
      <c r="S5" s="329"/>
      <c r="T5" s="330"/>
      <c r="U5" s="109"/>
      <c r="V5" s="109"/>
      <c r="W5" s="109"/>
      <c r="X5" s="110"/>
      <c r="Y5" s="115"/>
    </row>
    <row r="6" spans="1:25" x14ac:dyDescent="0.35">
      <c r="A6" s="108"/>
      <c r="B6" s="109"/>
      <c r="C6" s="122" t="s">
        <v>34</v>
      </c>
      <c r="D6" s="269">
        <f t="shared" ref="D6:D13" si="1">O60</f>
        <v>0.2087640835828605</v>
      </c>
      <c r="E6" s="270">
        <f t="shared" si="0"/>
        <v>0.48276223390811235</v>
      </c>
      <c r="F6" s="271"/>
      <c r="G6" s="272"/>
      <c r="H6" s="270">
        <f t="shared" si="0"/>
        <v>0.18695378869357682</v>
      </c>
      <c r="I6" s="270">
        <f t="shared" si="0"/>
        <v>0.36389528247797998</v>
      </c>
      <c r="J6" s="271"/>
      <c r="K6" s="271"/>
      <c r="L6" s="125"/>
      <c r="M6" s="310" t="s">
        <v>78</v>
      </c>
      <c r="N6" s="310"/>
      <c r="O6" s="310"/>
      <c r="P6" s="310"/>
      <c r="Q6" s="310"/>
      <c r="R6" s="310"/>
      <c r="S6" s="310"/>
      <c r="T6" s="311"/>
      <c r="U6" s="109"/>
      <c r="V6" s="109"/>
      <c r="W6" s="109"/>
      <c r="X6" s="110"/>
    </row>
    <row r="7" spans="1:25" x14ac:dyDescent="0.35">
      <c r="A7" s="108"/>
      <c r="B7" s="109"/>
      <c r="C7" s="122" t="s">
        <v>35</v>
      </c>
      <c r="D7" s="269">
        <f t="shared" si="1"/>
        <v>0.14094905114821046</v>
      </c>
      <c r="E7" s="270">
        <f t="shared" si="0"/>
        <v>0.47228055971821886</v>
      </c>
      <c r="F7" s="270">
        <f t="shared" si="0"/>
        <v>1.0738156331640618</v>
      </c>
      <c r="G7" s="273">
        <f t="shared" si="0"/>
        <v>0.9730803515505424</v>
      </c>
      <c r="H7" s="270">
        <f t="shared" si="0"/>
        <v>0.11275924091856841</v>
      </c>
      <c r="I7" s="270">
        <f t="shared" si="0"/>
        <v>0.39251619174914998</v>
      </c>
      <c r="J7" s="270">
        <f t="shared" si="0"/>
        <v>0.72166887383529932</v>
      </c>
      <c r="K7" s="270">
        <f t="shared" si="0"/>
        <v>0.77846428124043421</v>
      </c>
      <c r="L7" s="125"/>
      <c r="M7" s="310" t="s">
        <v>78</v>
      </c>
      <c r="N7" s="310"/>
      <c r="O7" s="310"/>
      <c r="P7" s="310"/>
      <c r="Q7" s="310"/>
      <c r="R7" s="310"/>
      <c r="S7" s="310"/>
      <c r="T7" s="311"/>
      <c r="U7" s="109"/>
      <c r="V7" s="109"/>
      <c r="W7" s="109"/>
      <c r="X7" s="110"/>
    </row>
    <row r="8" spans="1:25" x14ac:dyDescent="0.35">
      <c r="A8" s="108"/>
      <c r="B8" s="109"/>
      <c r="C8" s="122" t="s">
        <v>36</v>
      </c>
      <c r="D8" s="269">
        <f t="shared" si="1"/>
        <v>6.9617441609961278E-2</v>
      </c>
      <c r="E8" s="270">
        <f t="shared" si="0"/>
        <v>0.24024632725468123</v>
      </c>
      <c r="F8" s="270">
        <f t="shared" si="0"/>
        <v>0.70128345115360979</v>
      </c>
      <c r="G8" s="273">
        <f t="shared" si="0"/>
        <v>0.30024084299711756</v>
      </c>
      <c r="H8" s="270">
        <f t="shared" si="0"/>
        <v>5.5693953287969035E-2</v>
      </c>
      <c r="I8" s="270">
        <f t="shared" si="0"/>
        <v>0.18013197771999001</v>
      </c>
      <c r="J8" s="270">
        <f t="shared" si="0"/>
        <v>0.37472641742537555</v>
      </c>
      <c r="K8" s="270">
        <f t="shared" si="0"/>
        <v>0.24019267439769409</v>
      </c>
      <c r="L8" s="125"/>
      <c r="M8" s="310" t="s">
        <v>78</v>
      </c>
      <c r="N8" s="310"/>
      <c r="O8" s="310"/>
      <c r="P8" s="310"/>
      <c r="Q8" s="310"/>
      <c r="R8" s="310"/>
      <c r="S8" s="310"/>
      <c r="T8" s="311"/>
      <c r="U8" s="109"/>
      <c r="V8" s="109"/>
      <c r="W8" s="109"/>
      <c r="X8" s="110"/>
    </row>
    <row r="9" spans="1:25" x14ac:dyDescent="0.35">
      <c r="A9" s="108"/>
      <c r="B9" s="109"/>
      <c r="C9" s="127" t="s">
        <v>26</v>
      </c>
      <c r="D9" s="117">
        <f t="shared" si="1"/>
        <v>2.0856660713859756</v>
      </c>
      <c r="E9" s="120">
        <f t="shared" si="0"/>
        <v>11.310881891722595</v>
      </c>
      <c r="F9" s="120">
        <f t="shared" si="0"/>
        <v>40.353276032086711</v>
      </c>
      <c r="G9" s="128">
        <f t="shared" si="0"/>
        <v>106.11160998139835</v>
      </c>
      <c r="H9" s="120">
        <f t="shared" si="0"/>
        <v>1.9293260825077072</v>
      </c>
      <c r="I9" s="120">
        <f t="shared" si="0"/>
        <v>12.488630745803411</v>
      </c>
      <c r="J9" s="120">
        <f t="shared" si="0"/>
        <v>40.615556532211713</v>
      </c>
      <c r="K9" s="120">
        <f t="shared" si="0"/>
        <v>95.550801258399332</v>
      </c>
      <c r="L9" s="121">
        <f t="shared" si="0"/>
        <v>162.38447188027345</v>
      </c>
      <c r="M9" s="310"/>
      <c r="N9" s="310"/>
      <c r="O9" s="310"/>
      <c r="P9" s="310"/>
      <c r="Q9" s="310"/>
      <c r="R9" s="310"/>
      <c r="S9" s="310"/>
      <c r="T9" s="311"/>
      <c r="U9" s="109"/>
      <c r="V9" s="109"/>
      <c r="W9" s="109"/>
      <c r="X9" s="110"/>
    </row>
    <row r="10" spans="1:25" x14ac:dyDescent="0.35">
      <c r="A10" s="108"/>
      <c r="B10" s="109"/>
      <c r="C10" s="129" t="s">
        <v>37</v>
      </c>
      <c r="D10" s="117">
        <f t="shared" si="1"/>
        <v>1.1096866790652149</v>
      </c>
      <c r="E10" s="120">
        <f t="shared" si="0"/>
        <v>6.0226676676044999</v>
      </c>
      <c r="F10" s="120">
        <f t="shared" si="0"/>
        <v>16.960841110194092</v>
      </c>
      <c r="G10" s="96"/>
      <c r="H10" s="120">
        <f t="shared" si="0"/>
        <v>1.0303818457184075</v>
      </c>
      <c r="I10" s="120">
        <f t="shared" si="0"/>
        <v>5.5926649760528253</v>
      </c>
      <c r="J10" s="120">
        <f t="shared" si="0"/>
        <v>15.878092898329221</v>
      </c>
      <c r="K10" s="95"/>
      <c r="L10" s="125"/>
      <c r="M10" s="310"/>
      <c r="N10" s="310"/>
      <c r="O10" s="310"/>
      <c r="P10" s="310"/>
      <c r="Q10" s="310"/>
      <c r="R10" s="310"/>
      <c r="S10" s="310"/>
      <c r="T10" s="311"/>
      <c r="U10" s="109"/>
      <c r="V10" s="109"/>
      <c r="W10" s="109"/>
      <c r="X10" s="110"/>
    </row>
    <row r="11" spans="1:25" x14ac:dyDescent="0.35">
      <c r="A11" s="108"/>
      <c r="B11" s="109"/>
      <c r="C11" s="130" t="s">
        <v>112</v>
      </c>
      <c r="D11" s="117">
        <f t="shared" si="1"/>
        <v>0.72300702766320002</v>
      </c>
      <c r="E11" s="120">
        <f t="shared" si="0"/>
        <v>3.4628147433824998</v>
      </c>
      <c r="F11" s="120">
        <f t="shared" si="0"/>
        <v>6.7902410014702195</v>
      </c>
      <c r="G11" s="96"/>
      <c r="H11" s="120">
        <f t="shared" si="0"/>
        <v>0.61455597351372004</v>
      </c>
      <c r="I11" s="120">
        <f t="shared" si="0"/>
        <v>2.9433925318751251</v>
      </c>
      <c r="J11" s="120">
        <f t="shared" si="0"/>
        <v>5.7717048512496865</v>
      </c>
      <c r="K11" s="95"/>
      <c r="L11" s="125"/>
      <c r="M11" s="310"/>
      <c r="N11" s="310"/>
      <c r="O11" s="310"/>
      <c r="P11" s="310"/>
      <c r="Q11" s="310"/>
      <c r="R11" s="310"/>
      <c r="S11" s="310"/>
      <c r="T11" s="311"/>
      <c r="U11" s="109"/>
      <c r="V11" s="109"/>
      <c r="W11" s="109"/>
      <c r="X11" s="110"/>
    </row>
    <row r="12" spans="1:25" x14ac:dyDescent="0.35">
      <c r="A12" s="108"/>
      <c r="B12" s="109"/>
      <c r="C12" s="130" t="s">
        <v>48</v>
      </c>
      <c r="D12" s="117">
        <f t="shared" si="1"/>
        <v>1.7558742100392004</v>
      </c>
      <c r="E12" s="120">
        <f t="shared" ref="E12:E13" si="2">P66</f>
        <v>6.4554198898500017</v>
      </c>
      <c r="F12" s="120">
        <f t="shared" ref="F12:F13" si="3">Q66</f>
        <v>18.276010977042002</v>
      </c>
      <c r="G12" s="128">
        <f t="shared" ref="G12:G13" si="4">R66</f>
        <v>35.788847869328407</v>
      </c>
      <c r="H12" s="120">
        <f t="shared" ref="H12:H13" si="5">S66</f>
        <v>1.7558742100392004</v>
      </c>
      <c r="I12" s="120">
        <f t="shared" ref="I12:I13" si="6">T66</f>
        <v>6.4554198898500017</v>
      </c>
      <c r="J12" s="120">
        <f t="shared" si="0"/>
        <v>18.276010977042002</v>
      </c>
      <c r="K12" s="120">
        <f t="shared" si="0"/>
        <v>35.788847869328407</v>
      </c>
      <c r="L12" s="121">
        <f t="shared" si="0"/>
        <v>69.431627259720003</v>
      </c>
      <c r="M12" s="310" t="s">
        <v>96</v>
      </c>
      <c r="N12" s="310"/>
      <c r="O12" s="310"/>
      <c r="P12" s="310"/>
      <c r="Q12" s="310"/>
      <c r="R12" s="310"/>
      <c r="S12" s="310"/>
      <c r="T12" s="311"/>
      <c r="U12" s="109"/>
      <c r="V12" s="109"/>
      <c r="W12" s="109"/>
      <c r="X12" s="110"/>
    </row>
    <row r="13" spans="1:25" x14ac:dyDescent="0.35">
      <c r="A13" s="108"/>
      <c r="B13" s="109"/>
      <c r="C13" s="130" t="s">
        <v>49</v>
      </c>
      <c r="D13" s="117">
        <f t="shared" si="1"/>
        <v>1.9624476465144003</v>
      </c>
      <c r="E13" s="120">
        <f t="shared" si="2"/>
        <v>7.3161425418300015</v>
      </c>
      <c r="F13" s="120">
        <f t="shared" si="3"/>
        <v>21.087704973510004</v>
      </c>
      <c r="G13" s="128">
        <f t="shared" si="4"/>
        <v>33.464896708982401</v>
      </c>
      <c r="H13" s="120">
        <f t="shared" si="5"/>
        <v>1.9624476465144003</v>
      </c>
      <c r="I13" s="120">
        <f t="shared" si="6"/>
        <v>7.3161425418300015</v>
      </c>
      <c r="J13" s="120">
        <f t="shared" si="0"/>
        <v>21.087704973510004</v>
      </c>
      <c r="K13" s="120">
        <f t="shared" si="0"/>
        <v>33.464896708982401</v>
      </c>
      <c r="L13" s="121">
        <f t="shared" si="0"/>
        <v>52.073720444789998</v>
      </c>
      <c r="M13" s="310" t="s">
        <v>96</v>
      </c>
      <c r="N13" s="310"/>
      <c r="O13" s="310"/>
      <c r="P13" s="310"/>
      <c r="Q13" s="310"/>
      <c r="R13" s="310"/>
      <c r="S13" s="310"/>
      <c r="T13" s="311"/>
      <c r="U13" s="109"/>
      <c r="V13" s="109"/>
      <c r="W13" s="109"/>
      <c r="X13" s="110"/>
    </row>
    <row r="14" spans="1:25" x14ac:dyDescent="0.35">
      <c r="A14" s="108"/>
      <c r="B14" s="109"/>
      <c r="C14" s="131" t="s">
        <v>50</v>
      </c>
      <c r="D14" s="123">
        <f>O68</f>
        <v>0</v>
      </c>
      <c r="E14" s="124">
        <f t="shared" si="0"/>
        <v>0</v>
      </c>
      <c r="F14" s="124">
        <f t="shared" si="0"/>
        <v>0</v>
      </c>
      <c r="G14" s="126">
        <f t="shared" si="0"/>
        <v>0</v>
      </c>
      <c r="H14" s="124">
        <f t="shared" si="0"/>
        <v>0</v>
      </c>
      <c r="I14" s="124">
        <f t="shared" si="0"/>
        <v>0</v>
      </c>
      <c r="J14" s="124">
        <f t="shared" si="0"/>
        <v>0</v>
      </c>
      <c r="K14" s="124">
        <f t="shared" si="0"/>
        <v>0</v>
      </c>
      <c r="L14" s="132">
        <f t="shared" si="0"/>
        <v>0</v>
      </c>
      <c r="M14" s="310" t="s">
        <v>78</v>
      </c>
      <c r="N14" s="310"/>
      <c r="O14" s="310"/>
      <c r="P14" s="310"/>
      <c r="Q14" s="310"/>
      <c r="R14" s="310"/>
      <c r="S14" s="310"/>
      <c r="T14" s="311"/>
      <c r="U14" s="109"/>
      <c r="V14" s="109"/>
      <c r="W14" s="109"/>
      <c r="X14" s="110"/>
    </row>
    <row r="15" spans="1:25" x14ac:dyDescent="0.35">
      <c r="A15" s="108"/>
      <c r="B15" s="109"/>
      <c r="C15" s="274"/>
      <c r="D15" s="277"/>
      <c r="E15" s="133"/>
      <c r="F15" s="133"/>
      <c r="G15" s="134"/>
      <c r="H15" s="133"/>
      <c r="I15" s="133"/>
      <c r="J15" s="133"/>
      <c r="K15" s="133"/>
      <c r="L15" s="135"/>
      <c r="M15" s="312"/>
      <c r="N15" s="313"/>
      <c r="O15" s="313"/>
      <c r="P15" s="313"/>
      <c r="Q15" s="313"/>
      <c r="R15" s="313"/>
      <c r="S15" s="313"/>
      <c r="T15" s="314"/>
      <c r="U15" s="109"/>
      <c r="V15" s="109"/>
      <c r="W15" s="109"/>
      <c r="X15" s="110"/>
    </row>
    <row r="16" spans="1:25" ht="15" thickBot="1" x14ac:dyDescent="0.4">
      <c r="A16" s="108"/>
      <c r="B16" s="109"/>
      <c r="C16" s="275"/>
      <c r="D16" s="278"/>
      <c r="E16" s="136"/>
      <c r="F16" s="136"/>
      <c r="G16" s="137"/>
      <c r="H16" s="136"/>
      <c r="I16" s="136"/>
      <c r="J16" s="136"/>
      <c r="K16" s="136"/>
      <c r="L16" s="136"/>
      <c r="M16" s="315"/>
      <c r="N16" s="316"/>
      <c r="O16" s="316"/>
      <c r="P16" s="316"/>
      <c r="Q16" s="316"/>
      <c r="R16" s="316"/>
      <c r="S16" s="316"/>
      <c r="T16" s="317"/>
      <c r="U16" s="109"/>
      <c r="V16" s="109"/>
      <c r="W16" s="109"/>
      <c r="X16" s="110"/>
    </row>
    <row r="17" spans="1:48" ht="15" thickBot="1" x14ac:dyDescent="0.4">
      <c r="A17" s="108"/>
      <c r="B17" s="109"/>
      <c r="C17" s="109"/>
      <c r="D17" s="109"/>
      <c r="E17" s="109"/>
      <c r="F17" s="109"/>
      <c r="G17" s="109"/>
      <c r="H17" s="109"/>
      <c r="I17" s="109"/>
      <c r="J17" s="109"/>
      <c r="K17" s="109"/>
      <c r="L17" s="109"/>
      <c r="M17" s="109"/>
      <c r="N17" s="109"/>
      <c r="O17" s="109"/>
      <c r="P17" s="109"/>
      <c r="Q17" s="109"/>
      <c r="R17" s="109"/>
      <c r="S17" s="109"/>
      <c r="T17" s="109"/>
      <c r="U17" s="109"/>
      <c r="V17" s="109"/>
      <c r="W17" s="109"/>
      <c r="X17" s="110"/>
    </row>
    <row r="18" spans="1:48" ht="15" thickBot="1" x14ac:dyDescent="0.4">
      <c r="A18" s="108"/>
      <c r="B18" s="109"/>
      <c r="C18" s="300" t="s">
        <v>83</v>
      </c>
      <c r="D18" s="302" t="s">
        <v>7</v>
      </c>
      <c r="E18" s="302"/>
      <c r="F18" s="302"/>
      <c r="G18" s="303"/>
      <c r="H18" s="298" t="s">
        <v>8</v>
      </c>
      <c r="I18" s="298"/>
      <c r="J18" s="298"/>
      <c r="K18" s="298"/>
      <c r="L18" s="299"/>
      <c r="M18" s="109"/>
      <c r="N18" s="109"/>
      <c r="O18" s="109"/>
      <c r="P18" s="109"/>
      <c r="Q18" s="109"/>
      <c r="R18" s="109"/>
      <c r="S18" s="109"/>
      <c r="T18" s="109"/>
      <c r="U18" s="109"/>
      <c r="V18" s="109"/>
      <c r="W18" s="109"/>
      <c r="X18" s="110"/>
    </row>
    <row r="19" spans="1:48" x14ac:dyDescent="0.35">
      <c r="A19" s="108"/>
      <c r="B19" s="109"/>
      <c r="C19" s="301"/>
      <c r="D19" s="138" t="s">
        <v>0</v>
      </c>
      <c r="E19" s="138" t="s">
        <v>1</v>
      </c>
      <c r="F19" s="138" t="s">
        <v>2</v>
      </c>
      <c r="G19" s="139" t="s">
        <v>3</v>
      </c>
      <c r="H19" s="140" t="s">
        <v>0</v>
      </c>
      <c r="I19" s="140" t="s">
        <v>1</v>
      </c>
      <c r="J19" s="140" t="s">
        <v>2</v>
      </c>
      <c r="K19" s="140" t="s">
        <v>3</v>
      </c>
      <c r="L19" s="141" t="s">
        <v>4</v>
      </c>
      <c r="M19" s="142"/>
      <c r="N19" s="143" t="s">
        <v>111</v>
      </c>
      <c r="O19" s="144"/>
      <c r="P19" s="144"/>
      <c r="Q19" s="144"/>
      <c r="R19" s="144"/>
      <c r="S19" s="144"/>
      <c r="T19" s="144"/>
      <c r="U19" s="144"/>
      <c r="V19" s="144"/>
      <c r="W19" s="145"/>
      <c r="X19" s="110"/>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row>
    <row r="20" spans="1:48" ht="15" thickBot="1" x14ac:dyDescent="0.4">
      <c r="A20" s="146"/>
      <c r="B20" s="292"/>
      <c r="C20" s="147" t="s">
        <v>25</v>
      </c>
      <c r="D20" s="93">
        <v>0.31</v>
      </c>
      <c r="E20" s="93">
        <v>0.6399999999999999</v>
      </c>
      <c r="F20" s="93">
        <v>0.745</v>
      </c>
      <c r="G20" s="94">
        <v>0.85</v>
      </c>
      <c r="H20" s="93">
        <v>0.54</v>
      </c>
      <c r="I20" s="93">
        <v>0.72</v>
      </c>
      <c r="J20" s="93">
        <v>0.77500000000000002</v>
      </c>
      <c r="K20" s="93">
        <v>0.85</v>
      </c>
      <c r="L20" s="148">
        <v>0.9</v>
      </c>
      <c r="M20" s="142"/>
      <c r="N20" s="149" t="s">
        <v>97</v>
      </c>
      <c r="O20" s="150"/>
      <c r="P20" s="150"/>
      <c r="Q20" s="150"/>
      <c r="R20" s="150"/>
      <c r="S20" s="150"/>
      <c r="T20" s="150"/>
      <c r="U20" s="150"/>
      <c r="V20" s="150"/>
      <c r="W20" s="151"/>
      <c r="X20" s="110"/>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row>
    <row r="21" spans="1:48" x14ac:dyDescent="0.35">
      <c r="A21" s="146"/>
      <c r="B21" s="292"/>
      <c r="C21" s="152" t="s">
        <v>34</v>
      </c>
      <c r="D21" s="93">
        <v>0.1</v>
      </c>
      <c r="E21" s="93">
        <v>0.06</v>
      </c>
      <c r="F21" s="95"/>
      <c r="G21" s="96"/>
      <c r="H21" s="93">
        <v>0.1</v>
      </c>
      <c r="I21" s="93">
        <v>0.06</v>
      </c>
      <c r="J21" s="95"/>
      <c r="K21" s="95"/>
      <c r="L21" s="125"/>
      <c r="M21" s="142"/>
      <c r="N21" s="109"/>
      <c r="O21" s="142"/>
      <c r="P21" s="142"/>
      <c r="Q21" s="109"/>
      <c r="R21" s="109"/>
      <c r="S21" s="109"/>
      <c r="T21" s="109"/>
      <c r="U21" s="109"/>
      <c r="V21" s="109"/>
      <c r="W21" s="109"/>
      <c r="X21" s="110"/>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row>
    <row r="22" spans="1:48" x14ac:dyDescent="0.35">
      <c r="A22" s="293"/>
      <c r="B22" s="292"/>
      <c r="C22" s="152" t="s">
        <v>35</v>
      </c>
      <c r="D22" s="93">
        <v>0.05</v>
      </c>
      <c r="E22" s="93">
        <v>0.05</v>
      </c>
      <c r="F22" s="93">
        <v>0.05</v>
      </c>
      <c r="G22" s="97">
        <v>0.05</v>
      </c>
      <c r="H22" s="93">
        <v>0.05</v>
      </c>
      <c r="I22" s="93">
        <v>0.05</v>
      </c>
      <c r="J22" s="93">
        <v>0.05</v>
      </c>
      <c r="K22" s="93">
        <v>0.05</v>
      </c>
      <c r="L22" s="125"/>
      <c r="M22" s="109"/>
      <c r="N22" s="109"/>
      <c r="O22" s="109"/>
      <c r="P22" s="109"/>
      <c r="Q22" s="109"/>
      <c r="R22" s="109"/>
      <c r="S22" s="109"/>
      <c r="T22" s="109"/>
      <c r="U22" s="109"/>
      <c r="V22" s="109"/>
      <c r="W22" s="109"/>
      <c r="X22" s="110"/>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row>
    <row r="23" spans="1:48" x14ac:dyDescent="0.35">
      <c r="A23" s="293"/>
      <c r="B23" s="292"/>
      <c r="C23" s="153" t="s">
        <v>36</v>
      </c>
      <c r="D23" s="93">
        <v>0.03</v>
      </c>
      <c r="E23" s="93">
        <v>0.03</v>
      </c>
      <c r="F23" s="93">
        <v>0.04</v>
      </c>
      <c r="G23" s="97">
        <v>0.05</v>
      </c>
      <c r="H23" s="93">
        <v>0.03</v>
      </c>
      <c r="I23" s="93">
        <v>0.03</v>
      </c>
      <c r="J23" s="93">
        <v>0.04</v>
      </c>
      <c r="K23" s="93">
        <v>0.05</v>
      </c>
      <c r="L23" s="125"/>
      <c r="M23" s="109"/>
      <c r="N23" s="109"/>
      <c r="O23" s="109"/>
      <c r="P23" s="109"/>
      <c r="Q23" s="109"/>
      <c r="R23" s="109"/>
      <c r="S23" s="109"/>
      <c r="T23" s="109"/>
      <c r="U23" s="109"/>
      <c r="V23" s="109"/>
      <c r="W23" s="109"/>
      <c r="X23" s="110"/>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row>
    <row r="24" spans="1:48" ht="15.75" customHeight="1" x14ac:dyDescent="0.35">
      <c r="A24" s="293"/>
      <c r="B24" s="154"/>
      <c r="C24" s="155" t="s">
        <v>26</v>
      </c>
      <c r="D24" s="98">
        <v>0.20499999999999999</v>
      </c>
      <c r="E24" s="99">
        <v>0.27</v>
      </c>
      <c r="F24" s="99">
        <v>0.4</v>
      </c>
      <c r="G24" s="94">
        <v>0.6</v>
      </c>
      <c r="H24" s="99">
        <v>0.22</v>
      </c>
      <c r="I24" s="99">
        <v>0.35</v>
      </c>
      <c r="J24" s="99">
        <v>0.47499999999999998</v>
      </c>
      <c r="K24" s="99">
        <v>0.6</v>
      </c>
      <c r="L24" s="148">
        <v>0.7</v>
      </c>
      <c r="M24" s="156"/>
      <c r="N24" s="156"/>
      <c r="O24" s="109"/>
      <c r="P24" s="109"/>
      <c r="Q24" s="109"/>
      <c r="R24" s="109"/>
      <c r="S24" s="109"/>
      <c r="T24" s="156"/>
      <c r="U24" s="109"/>
      <c r="V24" s="109"/>
      <c r="W24" s="109"/>
      <c r="X24" s="110"/>
      <c r="Y24" s="133"/>
      <c r="Z24" s="133"/>
      <c r="AA24" s="133"/>
      <c r="AB24" s="133"/>
      <c r="AC24" s="133"/>
      <c r="AD24" s="133"/>
      <c r="AE24" s="133"/>
      <c r="AF24" s="133"/>
      <c r="AG24" s="133"/>
      <c r="AH24" s="133"/>
      <c r="AI24" s="133"/>
      <c r="AJ24" s="305"/>
      <c r="AK24" s="305"/>
      <c r="AL24" s="305"/>
      <c r="AM24" s="305"/>
      <c r="AN24" s="305"/>
      <c r="AO24" s="305"/>
      <c r="AP24" s="305"/>
      <c r="AQ24" s="133"/>
      <c r="AR24" s="133"/>
      <c r="AS24" s="133"/>
      <c r="AT24" s="133"/>
      <c r="AU24" s="133"/>
      <c r="AV24" s="133"/>
    </row>
    <row r="25" spans="1:48" x14ac:dyDescent="0.35">
      <c r="A25" s="293"/>
      <c r="B25" s="154"/>
      <c r="C25" s="157" t="s">
        <v>37</v>
      </c>
      <c r="D25" s="100">
        <v>0.15</v>
      </c>
      <c r="E25" s="93">
        <v>0.22</v>
      </c>
      <c r="F25" s="93">
        <v>0.27</v>
      </c>
      <c r="G25" s="96"/>
      <c r="H25" s="93">
        <v>0.15</v>
      </c>
      <c r="I25" s="93">
        <v>0.22</v>
      </c>
      <c r="J25" s="93">
        <v>0.27</v>
      </c>
      <c r="K25" s="95"/>
      <c r="L25" s="125"/>
      <c r="M25" s="158"/>
      <c r="N25" s="158"/>
      <c r="O25" s="109"/>
      <c r="P25" s="109"/>
      <c r="Q25" s="109"/>
      <c r="R25" s="109"/>
      <c r="S25" s="109"/>
      <c r="T25" s="159"/>
      <c r="U25" s="109"/>
      <c r="V25" s="159"/>
      <c r="W25" s="160"/>
      <c r="X25" s="161"/>
      <c r="Y25" s="162"/>
      <c r="Z25" s="305"/>
      <c r="AA25" s="305"/>
      <c r="AB25" s="305"/>
      <c r="AC25" s="305"/>
      <c r="AD25" s="305"/>
      <c r="AE25" s="305"/>
      <c r="AF25" s="305"/>
      <c r="AG25" s="133"/>
      <c r="AH25" s="133"/>
      <c r="AI25" s="133"/>
      <c r="AJ25" s="163"/>
      <c r="AK25" s="162"/>
      <c r="AL25" s="162"/>
      <c r="AM25" s="162"/>
      <c r="AN25" s="162"/>
      <c r="AO25" s="162"/>
      <c r="AP25" s="162"/>
      <c r="AQ25" s="133"/>
      <c r="AR25" s="162"/>
      <c r="AS25" s="164"/>
      <c r="AT25" s="162"/>
      <c r="AU25" s="162"/>
      <c r="AV25" s="133"/>
    </row>
    <row r="26" spans="1:48" x14ac:dyDescent="0.35">
      <c r="A26" s="293"/>
      <c r="B26" s="292"/>
      <c r="C26" s="157" t="s">
        <v>112</v>
      </c>
      <c r="D26" s="100">
        <v>0.15</v>
      </c>
      <c r="E26" s="93">
        <v>0.22</v>
      </c>
      <c r="F26" s="93">
        <v>0.27</v>
      </c>
      <c r="G26" s="96"/>
      <c r="H26" s="93">
        <v>0.15</v>
      </c>
      <c r="I26" s="93">
        <v>0.22</v>
      </c>
      <c r="J26" s="93">
        <v>0.27</v>
      </c>
      <c r="K26" s="95"/>
      <c r="L26" s="125"/>
      <c r="M26" s="165"/>
      <c r="N26" s="165"/>
      <c r="O26" s="109"/>
      <c r="P26" s="109"/>
      <c r="Q26" s="109"/>
      <c r="R26" s="109"/>
      <c r="S26" s="109"/>
      <c r="T26" s="109"/>
      <c r="U26" s="166"/>
      <c r="V26" s="166"/>
      <c r="W26" s="166"/>
      <c r="X26" s="167"/>
      <c r="Y26" s="133"/>
      <c r="Z26" s="163"/>
      <c r="AA26" s="162"/>
      <c r="AB26" s="162"/>
      <c r="AC26" s="162"/>
      <c r="AD26" s="162"/>
      <c r="AE26" s="162"/>
      <c r="AF26" s="133"/>
      <c r="AG26" s="133"/>
      <c r="AH26" s="133"/>
      <c r="AI26" s="163"/>
      <c r="AJ26" s="168"/>
      <c r="AK26" s="168"/>
      <c r="AL26" s="168"/>
      <c r="AM26" s="168"/>
      <c r="AN26" s="168"/>
      <c r="AO26" s="168"/>
      <c r="AP26" s="133"/>
      <c r="AQ26" s="169"/>
      <c r="AR26" s="169"/>
      <c r="AS26" s="169"/>
      <c r="AT26" s="169"/>
      <c r="AU26" s="169"/>
      <c r="AV26" s="133"/>
    </row>
    <row r="27" spans="1:48" ht="15" thickBot="1" x14ac:dyDescent="0.4">
      <c r="A27" s="146"/>
      <c r="B27" s="292"/>
      <c r="C27" s="157" t="s">
        <v>48</v>
      </c>
      <c r="D27" s="100">
        <v>0.2</v>
      </c>
      <c r="E27" s="93">
        <v>0.3</v>
      </c>
      <c r="F27" s="93">
        <v>0.5</v>
      </c>
      <c r="G27" s="97">
        <v>0.7</v>
      </c>
      <c r="H27" s="93">
        <v>0.2</v>
      </c>
      <c r="I27" s="93">
        <v>0.3</v>
      </c>
      <c r="J27" s="93">
        <v>0.5</v>
      </c>
      <c r="K27" s="93">
        <v>0.7</v>
      </c>
      <c r="L27" s="170">
        <v>1</v>
      </c>
      <c r="M27" s="171"/>
      <c r="N27" s="171"/>
      <c r="O27" s="156" t="s">
        <v>114</v>
      </c>
      <c r="P27" s="156"/>
      <c r="Q27" s="156"/>
      <c r="R27" s="156"/>
      <c r="S27" s="156"/>
      <c r="T27" s="109"/>
      <c r="U27" s="172"/>
      <c r="V27" s="172"/>
      <c r="W27" s="172"/>
      <c r="X27" s="173"/>
      <c r="Y27" s="133"/>
      <c r="Z27" s="163"/>
      <c r="AA27" s="169"/>
      <c r="AB27" s="169"/>
      <c r="AC27" s="169"/>
      <c r="AD27" s="169"/>
      <c r="AE27" s="169"/>
      <c r="AF27" s="133"/>
      <c r="AG27" s="133"/>
      <c r="AH27" s="133"/>
      <c r="AI27" s="163"/>
      <c r="AJ27" s="174"/>
      <c r="AK27" s="174"/>
      <c r="AL27" s="175"/>
      <c r="AM27" s="176"/>
      <c r="AN27" s="176"/>
      <c r="AO27" s="175"/>
      <c r="AP27" s="133"/>
      <c r="AQ27" s="177"/>
      <c r="AR27" s="177"/>
      <c r="AS27" s="177"/>
      <c r="AT27" s="177"/>
      <c r="AU27" s="177"/>
      <c r="AV27" s="133"/>
    </row>
    <row r="28" spans="1:48" x14ac:dyDescent="0.35">
      <c r="A28" s="146"/>
      <c r="B28" s="292"/>
      <c r="C28" s="157" t="s">
        <v>49</v>
      </c>
      <c r="D28" s="100">
        <v>0.2</v>
      </c>
      <c r="E28" s="93">
        <v>0.3</v>
      </c>
      <c r="F28" s="93">
        <v>0.5</v>
      </c>
      <c r="G28" s="97">
        <v>0.6</v>
      </c>
      <c r="H28" s="93">
        <v>0.2</v>
      </c>
      <c r="I28" s="93">
        <v>0.3</v>
      </c>
      <c r="J28" s="93">
        <v>0.5</v>
      </c>
      <c r="K28" s="93">
        <v>0.6</v>
      </c>
      <c r="L28" s="170">
        <v>0.75</v>
      </c>
      <c r="M28" s="165"/>
      <c r="N28" s="165"/>
      <c r="O28" s="306" t="s">
        <v>84</v>
      </c>
      <c r="P28" s="307"/>
      <c r="Q28" s="307"/>
      <c r="R28" s="307"/>
      <c r="S28" s="178">
        <v>83.25</v>
      </c>
      <c r="T28" s="179" t="s">
        <v>98</v>
      </c>
      <c r="U28" s="166"/>
      <c r="V28" s="180"/>
      <c r="W28" s="180"/>
      <c r="X28" s="181"/>
      <c r="Y28" s="133"/>
      <c r="Z28" s="163"/>
      <c r="AA28" s="177"/>
      <c r="AB28" s="177"/>
      <c r="AC28" s="177"/>
      <c r="AD28" s="177"/>
      <c r="AE28" s="177"/>
      <c r="AF28" s="133"/>
      <c r="AG28" s="133"/>
      <c r="AH28" s="133"/>
      <c r="AI28" s="163"/>
      <c r="AJ28" s="168"/>
      <c r="AK28" s="168"/>
      <c r="AL28" s="168"/>
      <c r="AM28" s="168"/>
      <c r="AN28" s="168"/>
      <c r="AO28" s="168"/>
      <c r="AP28" s="133"/>
      <c r="AQ28" s="169"/>
      <c r="AR28" s="182"/>
      <c r="AS28" s="182"/>
      <c r="AT28" s="182"/>
      <c r="AU28" s="182"/>
      <c r="AV28" s="133"/>
    </row>
    <row r="29" spans="1:48" ht="15" thickBot="1" x14ac:dyDescent="0.4">
      <c r="A29" s="146"/>
      <c r="B29" s="292"/>
      <c r="C29" s="183" t="s">
        <v>50</v>
      </c>
      <c r="D29" s="184">
        <v>0.02</v>
      </c>
      <c r="E29" s="185">
        <v>0.02</v>
      </c>
      <c r="F29" s="185">
        <v>0.02</v>
      </c>
      <c r="G29" s="186">
        <v>0.02</v>
      </c>
      <c r="H29" s="185">
        <v>0.02</v>
      </c>
      <c r="I29" s="185">
        <v>0.02</v>
      </c>
      <c r="J29" s="185">
        <v>0.02</v>
      </c>
      <c r="K29" s="185">
        <v>0.02</v>
      </c>
      <c r="L29" s="187">
        <v>0.02</v>
      </c>
      <c r="M29" s="165"/>
      <c r="N29" s="165"/>
      <c r="O29" s="308" t="s">
        <v>85</v>
      </c>
      <c r="P29" s="309"/>
      <c r="Q29" s="309"/>
      <c r="R29" s="309"/>
      <c r="S29" s="188">
        <v>87.7</v>
      </c>
      <c r="T29" s="179" t="s">
        <v>99</v>
      </c>
      <c r="U29" s="109"/>
      <c r="V29" s="109"/>
      <c r="W29" s="109"/>
      <c r="X29" s="110"/>
      <c r="Y29" s="133"/>
      <c r="Z29" s="163"/>
      <c r="AA29" s="182"/>
      <c r="AB29" s="182"/>
      <c r="AC29" s="182"/>
      <c r="AD29" s="182"/>
      <c r="AE29" s="182"/>
      <c r="AF29" s="133"/>
      <c r="AG29" s="133"/>
      <c r="AH29" s="133"/>
      <c r="AI29" s="163"/>
      <c r="AJ29" s="168"/>
      <c r="AK29" s="168"/>
      <c r="AL29" s="168"/>
      <c r="AM29" s="168"/>
      <c r="AN29" s="168"/>
      <c r="AO29" s="168"/>
      <c r="AP29" s="133"/>
      <c r="AQ29" s="133"/>
      <c r="AR29" s="133"/>
      <c r="AS29" s="133"/>
      <c r="AT29" s="133"/>
      <c r="AU29" s="133"/>
      <c r="AV29" s="133"/>
    </row>
    <row r="30" spans="1:48" ht="15" thickBot="1" x14ac:dyDescent="0.4">
      <c r="A30" s="108"/>
      <c r="B30" s="109"/>
      <c r="C30" s="189"/>
      <c r="D30" s="190"/>
      <c r="E30" s="190"/>
      <c r="F30" s="190"/>
      <c r="G30" s="190"/>
      <c r="H30" s="190"/>
      <c r="I30" s="190"/>
      <c r="J30" s="190"/>
      <c r="K30" s="190"/>
      <c r="L30" s="190"/>
      <c r="M30" s="158"/>
      <c r="N30" s="158"/>
      <c r="O30" s="191"/>
      <c r="P30" s="191"/>
      <c r="Q30" s="191"/>
      <c r="R30" s="191"/>
      <c r="S30" s="191"/>
      <c r="T30" s="191"/>
      <c r="U30" s="109"/>
      <c r="V30" s="109"/>
      <c r="W30" s="109"/>
      <c r="X30" s="110"/>
      <c r="Y30" s="133"/>
      <c r="Z30" s="133"/>
      <c r="AA30" s="133"/>
      <c r="AB30" s="133"/>
      <c r="AC30" s="133"/>
      <c r="AD30" s="133"/>
      <c r="AE30" s="133"/>
      <c r="AF30" s="133"/>
      <c r="AG30" s="133"/>
      <c r="AH30" s="133"/>
      <c r="AI30" s="133"/>
      <c r="AJ30" s="163"/>
      <c r="AK30" s="192"/>
      <c r="AL30" s="192"/>
      <c r="AM30" s="192"/>
      <c r="AN30" s="192"/>
      <c r="AO30" s="192"/>
      <c r="AP30" s="192"/>
      <c r="AQ30" s="133"/>
      <c r="AR30" s="133"/>
      <c r="AS30" s="133"/>
      <c r="AT30" s="133"/>
      <c r="AU30" s="133"/>
      <c r="AV30" s="133"/>
    </row>
    <row r="31" spans="1:48" ht="17" thickBot="1" x14ac:dyDescent="0.4">
      <c r="A31" s="108"/>
      <c r="B31" s="109"/>
      <c r="C31" s="193" t="s">
        <v>100</v>
      </c>
      <c r="D31" s="194">
        <v>1.72</v>
      </c>
      <c r="E31" s="109" t="s">
        <v>105</v>
      </c>
      <c r="F31" s="109"/>
      <c r="G31" s="109"/>
      <c r="H31" s="109"/>
      <c r="I31" s="109"/>
      <c r="J31" s="109"/>
      <c r="K31" s="109"/>
      <c r="L31" s="109"/>
      <c r="M31" s="109"/>
      <c r="N31" s="109"/>
      <c r="O31" s="109"/>
      <c r="P31" s="109"/>
      <c r="Q31" s="109"/>
      <c r="R31" s="109"/>
      <c r="S31" s="109"/>
      <c r="T31" s="109"/>
      <c r="U31" s="109"/>
      <c r="V31" s="109"/>
      <c r="W31" s="109"/>
      <c r="X31" s="110"/>
      <c r="Y31" s="133"/>
      <c r="Z31" s="16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row>
    <row r="32" spans="1:48" ht="15" thickBot="1" x14ac:dyDescent="0.4">
      <c r="A32" s="108"/>
      <c r="B32" s="109"/>
      <c r="C32" s="189"/>
      <c r="D32" s="109"/>
      <c r="E32" s="159"/>
      <c r="F32" s="159"/>
      <c r="G32" s="159"/>
      <c r="H32" s="195"/>
      <c r="I32" s="195"/>
      <c r="J32" s="195"/>
      <c r="K32" s="195"/>
      <c r="L32" s="195"/>
      <c r="M32" s="109"/>
      <c r="N32" s="109"/>
      <c r="O32" s="109"/>
      <c r="P32" s="109"/>
      <c r="Q32" s="109"/>
      <c r="R32" s="109"/>
      <c r="S32" s="109"/>
      <c r="T32" s="109"/>
      <c r="U32" s="109"/>
      <c r="V32" s="109"/>
      <c r="W32" s="109"/>
      <c r="X32" s="110"/>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row>
    <row r="33" spans="1:48" ht="15" customHeight="1" x14ac:dyDescent="0.35">
      <c r="A33" s="108"/>
      <c r="B33" s="109"/>
      <c r="C33" s="300" t="s">
        <v>101</v>
      </c>
      <c r="D33" s="302" t="s">
        <v>7</v>
      </c>
      <c r="E33" s="302"/>
      <c r="F33" s="302"/>
      <c r="G33" s="303"/>
      <c r="H33" s="298" t="s">
        <v>8</v>
      </c>
      <c r="I33" s="298"/>
      <c r="J33" s="298"/>
      <c r="K33" s="298"/>
      <c r="L33" s="299"/>
      <c r="M33" s="294" t="s">
        <v>102</v>
      </c>
      <c r="N33" s="295"/>
      <c r="O33" s="304" t="s">
        <v>7</v>
      </c>
      <c r="P33" s="302"/>
      <c r="Q33" s="302"/>
      <c r="R33" s="303"/>
      <c r="S33" s="298" t="s">
        <v>8</v>
      </c>
      <c r="T33" s="298"/>
      <c r="U33" s="298"/>
      <c r="V33" s="298"/>
      <c r="W33" s="299"/>
      <c r="X33" s="110"/>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row>
    <row r="34" spans="1:48" ht="18" customHeight="1" x14ac:dyDescent="0.35">
      <c r="A34" s="108"/>
      <c r="B34" s="109"/>
      <c r="C34" s="301"/>
      <c r="D34" s="138" t="s">
        <v>0</v>
      </c>
      <c r="E34" s="138" t="s">
        <v>1</v>
      </c>
      <c r="F34" s="138" t="s">
        <v>2</v>
      </c>
      <c r="G34" s="139" t="s">
        <v>3</v>
      </c>
      <c r="H34" s="140" t="s">
        <v>0</v>
      </c>
      <c r="I34" s="140" t="s">
        <v>1</v>
      </c>
      <c r="J34" s="140" t="s">
        <v>2</v>
      </c>
      <c r="K34" s="140" t="s">
        <v>3</v>
      </c>
      <c r="L34" s="141" t="s">
        <v>4</v>
      </c>
      <c r="M34" s="296"/>
      <c r="N34" s="297"/>
      <c r="O34" s="196" t="s">
        <v>0</v>
      </c>
      <c r="P34" s="138" t="s">
        <v>1</v>
      </c>
      <c r="Q34" s="138" t="s">
        <v>2</v>
      </c>
      <c r="R34" s="139" t="s">
        <v>3</v>
      </c>
      <c r="S34" s="140" t="s">
        <v>0</v>
      </c>
      <c r="T34" s="140" t="s">
        <v>1</v>
      </c>
      <c r="U34" s="140" t="s">
        <v>2</v>
      </c>
      <c r="V34" s="140" t="s">
        <v>3</v>
      </c>
      <c r="W34" s="141" t="s">
        <v>4</v>
      </c>
      <c r="X34" s="110"/>
    </row>
    <row r="35" spans="1:48" x14ac:dyDescent="0.35">
      <c r="A35" s="146"/>
      <c r="B35" s="292"/>
      <c r="C35" s="155" t="s">
        <v>25</v>
      </c>
      <c r="D35" s="98">
        <v>11.476148148148148</v>
      </c>
      <c r="E35" s="99">
        <v>10.389851851851851</v>
      </c>
      <c r="F35" s="99">
        <v>8.5445277777777768</v>
      </c>
      <c r="G35" s="94">
        <v>6.6869999999999985</v>
      </c>
      <c r="H35" s="99">
        <v>10.174988888888889</v>
      </c>
      <c r="I35" s="99">
        <v>7.9319194444444445</v>
      </c>
      <c r="J35" s="99">
        <v>5.6888499999999995</v>
      </c>
      <c r="K35" s="99">
        <v>4.5475166666666658</v>
      </c>
      <c r="L35" s="99">
        <v>3.4061833333333329</v>
      </c>
      <c r="M35" s="197"/>
      <c r="N35" s="198"/>
      <c r="O35" s="199">
        <f>D35*D20</f>
        <v>3.5576059259259258</v>
      </c>
      <c r="P35" s="200">
        <f t="shared" ref="P35:W44" si="7">E35*E20</f>
        <v>6.6495051851851841</v>
      </c>
      <c r="Q35" s="200">
        <f t="shared" si="7"/>
        <v>6.3656731944444438</v>
      </c>
      <c r="R35" s="201">
        <f t="shared" si="7"/>
        <v>5.6839499999999985</v>
      </c>
      <c r="S35" s="200">
        <f t="shared" si="7"/>
        <v>5.4944940000000004</v>
      </c>
      <c r="T35" s="200">
        <f t="shared" si="7"/>
        <v>5.7109819999999996</v>
      </c>
      <c r="U35" s="200">
        <f t="shared" si="7"/>
        <v>4.4088587499999994</v>
      </c>
      <c r="V35" s="200">
        <f t="shared" si="7"/>
        <v>3.8653891666666658</v>
      </c>
      <c r="W35" s="202">
        <f t="shared" si="7"/>
        <v>3.0655649999999999</v>
      </c>
      <c r="X35" s="110"/>
    </row>
    <row r="36" spans="1:48" x14ac:dyDescent="0.35">
      <c r="A36" s="146"/>
      <c r="B36" s="292"/>
      <c r="C36" s="157" t="s">
        <v>34</v>
      </c>
      <c r="D36" s="100">
        <v>8.5169999999999995</v>
      </c>
      <c r="E36" s="93">
        <v>7.0903333333333327</v>
      </c>
      <c r="F36" s="95"/>
      <c r="G36" s="96"/>
      <c r="H36" s="93">
        <v>7.6272000000000002</v>
      </c>
      <c r="I36" s="93">
        <v>5.3445333333333327</v>
      </c>
      <c r="J36" s="95"/>
      <c r="K36" s="95"/>
      <c r="L36" s="95"/>
      <c r="M36" s="203"/>
      <c r="N36" s="204"/>
      <c r="O36" s="205">
        <f t="shared" ref="O36:O44" si="8">D36*D21</f>
        <v>0.85170000000000001</v>
      </c>
      <c r="P36" s="206">
        <f t="shared" si="7"/>
        <v>0.42541999999999996</v>
      </c>
      <c r="Q36" s="207"/>
      <c r="R36" s="208"/>
      <c r="S36" s="206">
        <f t="shared" si="7"/>
        <v>0.76272000000000006</v>
      </c>
      <c r="T36" s="206">
        <f t="shared" si="7"/>
        <v>0.32067199999999996</v>
      </c>
      <c r="U36" s="207"/>
      <c r="V36" s="207"/>
      <c r="W36" s="209"/>
      <c r="X36" s="110"/>
    </row>
    <row r="37" spans="1:48" x14ac:dyDescent="0.35">
      <c r="A37" s="293"/>
      <c r="B37" s="292"/>
      <c r="C37" s="157" t="s">
        <v>35</v>
      </c>
      <c r="D37" s="100">
        <v>11.500666666666666</v>
      </c>
      <c r="E37" s="93">
        <v>8.3236666666666661</v>
      </c>
      <c r="F37" s="93">
        <v>6.8969999999999985</v>
      </c>
      <c r="G37" s="97">
        <v>2.9406666666666639</v>
      </c>
      <c r="H37" s="93">
        <v>9.2005333333333343</v>
      </c>
      <c r="I37" s="93">
        <v>6.9178666666666659</v>
      </c>
      <c r="J37" s="93">
        <v>4.6351999999999984</v>
      </c>
      <c r="K37" s="93">
        <v>2.3525333333333314</v>
      </c>
      <c r="L37" s="95"/>
      <c r="M37" s="203"/>
      <c r="N37" s="204"/>
      <c r="O37" s="205">
        <f t="shared" si="8"/>
        <v>0.57503333333333329</v>
      </c>
      <c r="P37" s="206">
        <f t="shared" si="7"/>
        <v>0.41618333333333335</v>
      </c>
      <c r="Q37" s="206">
        <f t="shared" si="7"/>
        <v>0.34484999999999993</v>
      </c>
      <c r="R37" s="210">
        <f t="shared" si="7"/>
        <v>0.14703333333333321</v>
      </c>
      <c r="S37" s="206">
        <f t="shared" si="7"/>
        <v>0.46002666666666675</v>
      </c>
      <c r="T37" s="206">
        <f t="shared" si="7"/>
        <v>0.34589333333333333</v>
      </c>
      <c r="U37" s="206">
        <f t="shared" si="7"/>
        <v>0.23175999999999994</v>
      </c>
      <c r="V37" s="206">
        <f t="shared" si="7"/>
        <v>0.11762666666666657</v>
      </c>
      <c r="W37" s="209"/>
      <c r="X37" s="110"/>
    </row>
    <row r="38" spans="1:48" x14ac:dyDescent="0.35">
      <c r="A38" s="293"/>
      <c r="B38" s="292"/>
      <c r="C38" s="157" t="s">
        <v>36</v>
      </c>
      <c r="D38" s="100">
        <v>9.4673333333333325</v>
      </c>
      <c r="E38" s="93">
        <v>7.0569999999999995</v>
      </c>
      <c r="F38" s="93">
        <v>5.6303333333333327</v>
      </c>
      <c r="G38" s="97">
        <v>0.90733333333333044</v>
      </c>
      <c r="H38" s="93">
        <v>7.5738666666666665</v>
      </c>
      <c r="I38" s="93">
        <v>5.2911999999999999</v>
      </c>
      <c r="J38" s="93">
        <v>3.0085333333333319</v>
      </c>
      <c r="K38" s="93">
        <v>0.72586666666666444</v>
      </c>
      <c r="L38" s="95"/>
      <c r="M38" s="203"/>
      <c r="N38" s="204"/>
      <c r="O38" s="205">
        <f t="shared" si="8"/>
        <v>0.28401999999999994</v>
      </c>
      <c r="P38" s="206">
        <f t="shared" si="7"/>
        <v>0.21170999999999998</v>
      </c>
      <c r="Q38" s="206">
        <f t="shared" si="7"/>
        <v>0.22521333333333332</v>
      </c>
      <c r="R38" s="210">
        <f t="shared" si="7"/>
        <v>4.5366666666666527E-2</v>
      </c>
      <c r="S38" s="206">
        <f t="shared" si="7"/>
        <v>0.22721599999999997</v>
      </c>
      <c r="T38" s="206">
        <f t="shared" si="7"/>
        <v>0.15873599999999999</v>
      </c>
      <c r="U38" s="206">
        <f t="shared" si="7"/>
        <v>0.12034133333333329</v>
      </c>
      <c r="V38" s="206">
        <f t="shared" si="7"/>
        <v>3.6293333333333226E-2</v>
      </c>
      <c r="W38" s="209"/>
      <c r="X38" s="110"/>
    </row>
    <row r="39" spans="1:48" x14ac:dyDescent="0.35">
      <c r="A39" s="293"/>
      <c r="B39" s="154"/>
      <c r="C39" s="155" t="s">
        <v>26</v>
      </c>
      <c r="D39" s="98">
        <v>39.400925925925925</v>
      </c>
      <c r="E39" s="99">
        <v>35.043055555555554</v>
      </c>
      <c r="F39" s="99">
        <v>30.754166666666666</v>
      </c>
      <c r="G39" s="94">
        <v>25.366666666666667</v>
      </c>
      <c r="H39" s="99">
        <v>33.962407407407404</v>
      </c>
      <c r="I39" s="99">
        <v>29.848055555555558</v>
      </c>
      <c r="J39" s="99">
        <v>26.066574074074072</v>
      </c>
      <c r="K39" s="99">
        <v>22.842037037037034</v>
      </c>
      <c r="L39" s="99">
        <v>18.224166666666665</v>
      </c>
      <c r="M39" s="203"/>
      <c r="N39" s="204"/>
      <c r="O39" s="199">
        <f t="shared" si="8"/>
        <v>8.0771898148148136</v>
      </c>
      <c r="P39" s="200">
        <f t="shared" si="7"/>
        <v>9.4616249999999997</v>
      </c>
      <c r="Q39" s="200">
        <f t="shared" si="7"/>
        <v>12.301666666666668</v>
      </c>
      <c r="R39" s="201">
        <f t="shared" si="7"/>
        <v>15.219999999999999</v>
      </c>
      <c r="S39" s="200">
        <f t="shared" si="7"/>
        <v>7.4717296296296292</v>
      </c>
      <c r="T39" s="200">
        <f t="shared" si="7"/>
        <v>10.446819444444445</v>
      </c>
      <c r="U39" s="200">
        <f t="shared" si="7"/>
        <v>12.381622685185183</v>
      </c>
      <c r="V39" s="200">
        <f t="shared" si="7"/>
        <v>13.70522222222222</v>
      </c>
      <c r="W39" s="202">
        <f t="shared" si="7"/>
        <v>12.756916666666665</v>
      </c>
      <c r="X39" s="110"/>
    </row>
    <row r="40" spans="1:48" x14ac:dyDescent="0.35">
      <c r="A40" s="293"/>
      <c r="B40" s="154"/>
      <c r="C40" s="157" t="s">
        <v>37</v>
      </c>
      <c r="D40" s="100">
        <v>28.65</v>
      </c>
      <c r="E40" s="93">
        <v>22.9</v>
      </c>
      <c r="F40" s="93">
        <v>19.149999999999999</v>
      </c>
      <c r="G40" s="96"/>
      <c r="H40" s="93">
        <v>26.602499999999999</v>
      </c>
      <c r="I40" s="93">
        <v>21.265000000000001</v>
      </c>
      <c r="J40" s="93">
        <v>17.927499999999998</v>
      </c>
      <c r="K40" s="95"/>
      <c r="L40" s="95"/>
      <c r="M40" s="203"/>
      <c r="N40" s="204"/>
      <c r="O40" s="205">
        <f t="shared" si="8"/>
        <v>4.2974999999999994</v>
      </c>
      <c r="P40" s="206">
        <f t="shared" si="7"/>
        <v>5.0379999999999994</v>
      </c>
      <c r="Q40" s="206">
        <f t="shared" si="7"/>
        <v>5.1704999999999997</v>
      </c>
      <c r="R40" s="208"/>
      <c r="S40" s="206">
        <f t="shared" si="7"/>
        <v>3.9903749999999998</v>
      </c>
      <c r="T40" s="206">
        <f t="shared" si="7"/>
        <v>4.6783000000000001</v>
      </c>
      <c r="U40" s="206">
        <f t="shared" si="7"/>
        <v>4.8404249999999998</v>
      </c>
      <c r="V40" s="207"/>
      <c r="W40" s="209"/>
      <c r="X40" s="110"/>
    </row>
    <row r="41" spans="1:48" x14ac:dyDescent="0.35">
      <c r="A41" s="293"/>
      <c r="B41" s="292"/>
      <c r="C41" s="157" t="s">
        <v>112</v>
      </c>
      <c r="D41" s="100">
        <v>18.666666666666668</v>
      </c>
      <c r="E41" s="93">
        <v>13.166666666666666</v>
      </c>
      <c r="F41" s="93">
        <v>7.666666666666667</v>
      </c>
      <c r="G41" s="96"/>
      <c r="H41" s="93">
        <v>15.866666666666667</v>
      </c>
      <c r="I41" s="93">
        <v>11.191666666666666</v>
      </c>
      <c r="J41" s="93">
        <v>6.5166666666666666</v>
      </c>
      <c r="K41" s="95"/>
      <c r="L41" s="95"/>
      <c r="M41" s="203"/>
      <c r="N41" s="204"/>
      <c r="O41" s="205">
        <f t="shared" si="8"/>
        <v>2.8000000000000003</v>
      </c>
      <c r="P41" s="206">
        <f t="shared" si="7"/>
        <v>2.8966666666666665</v>
      </c>
      <c r="Q41" s="206">
        <f t="shared" si="7"/>
        <v>2.0700000000000003</v>
      </c>
      <c r="R41" s="208"/>
      <c r="S41" s="206">
        <f t="shared" si="7"/>
        <v>2.38</v>
      </c>
      <c r="T41" s="206">
        <f t="shared" si="7"/>
        <v>2.4621666666666666</v>
      </c>
      <c r="U41" s="206">
        <f t="shared" si="7"/>
        <v>1.7595000000000001</v>
      </c>
      <c r="V41" s="207"/>
      <c r="W41" s="209"/>
      <c r="X41" s="110"/>
    </row>
    <row r="42" spans="1:48" x14ac:dyDescent="0.35">
      <c r="A42" s="146"/>
      <c r="B42" s="292"/>
      <c r="C42" s="157" t="s">
        <v>48</v>
      </c>
      <c r="D42" s="100">
        <v>17</v>
      </c>
      <c r="E42" s="93">
        <v>15</v>
      </c>
      <c r="F42" s="93">
        <v>13</v>
      </c>
      <c r="G42" s="97">
        <v>11</v>
      </c>
      <c r="H42" s="93">
        <v>17</v>
      </c>
      <c r="I42" s="93">
        <v>15</v>
      </c>
      <c r="J42" s="93">
        <v>13</v>
      </c>
      <c r="K42" s="93">
        <v>11</v>
      </c>
      <c r="L42" s="93">
        <v>10</v>
      </c>
      <c r="M42" s="203"/>
      <c r="N42" s="211"/>
      <c r="O42" s="206">
        <f t="shared" si="8"/>
        <v>3.4000000000000004</v>
      </c>
      <c r="P42" s="206">
        <f t="shared" si="7"/>
        <v>4.5</v>
      </c>
      <c r="Q42" s="206">
        <f t="shared" si="7"/>
        <v>6.5</v>
      </c>
      <c r="R42" s="210">
        <f t="shared" si="7"/>
        <v>7.6999999999999993</v>
      </c>
      <c r="S42" s="206">
        <f t="shared" si="7"/>
        <v>3.4000000000000004</v>
      </c>
      <c r="T42" s="206">
        <f t="shared" si="7"/>
        <v>4.5</v>
      </c>
      <c r="U42" s="206">
        <f t="shared" si="7"/>
        <v>6.5</v>
      </c>
      <c r="V42" s="206">
        <f t="shared" si="7"/>
        <v>7.6999999999999993</v>
      </c>
      <c r="W42" s="212">
        <f t="shared" si="7"/>
        <v>10</v>
      </c>
      <c r="X42" s="110"/>
      <c r="Y42" s="213"/>
    </row>
    <row r="43" spans="1:48" x14ac:dyDescent="0.35">
      <c r="A43" s="146"/>
      <c r="B43" s="292"/>
      <c r="C43" s="157" t="s">
        <v>49</v>
      </c>
      <c r="D43" s="100">
        <v>19</v>
      </c>
      <c r="E43" s="93">
        <v>17</v>
      </c>
      <c r="F43" s="93">
        <v>15</v>
      </c>
      <c r="G43" s="97">
        <v>12</v>
      </c>
      <c r="H43" s="93">
        <v>19</v>
      </c>
      <c r="I43" s="93">
        <v>17</v>
      </c>
      <c r="J43" s="93">
        <v>15</v>
      </c>
      <c r="K43" s="93">
        <v>12</v>
      </c>
      <c r="L43" s="93">
        <v>10</v>
      </c>
      <c r="M43" s="203"/>
      <c r="N43" s="211"/>
      <c r="O43" s="206">
        <f t="shared" si="8"/>
        <v>3.8000000000000003</v>
      </c>
      <c r="P43" s="206">
        <f t="shared" si="7"/>
        <v>5.0999999999999996</v>
      </c>
      <c r="Q43" s="206">
        <f t="shared" si="7"/>
        <v>7.5</v>
      </c>
      <c r="R43" s="210">
        <f t="shared" si="7"/>
        <v>7.1999999999999993</v>
      </c>
      <c r="S43" s="206">
        <f t="shared" si="7"/>
        <v>3.8000000000000003</v>
      </c>
      <c r="T43" s="206">
        <f t="shared" si="7"/>
        <v>5.0999999999999996</v>
      </c>
      <c r="U43" s="206">
        <f t="shared" si="7"/>
        <v>7.5</v>
      </c>
      <c r="V43" s="206">
        <f t="shared" si="7"/>
        <v>7.1999999999999993</v>
      </c>
      <c r="W43" s="212">
        <f t="shared" si="7"/>
        <v>7.5</v>
      </c>
      <c r="X43" s="110"/>
    </row>
    <row r="44" spans="1:48" ht="15" thickBot="1" x14ac:dyDescent="0.4">
      <c r="A44" s="146"/>
      <c r="B44" s="292"/>
      <c r="C44" s="183" t="s">
        <v>50</v>
      </c>
      <c r="D44" s="101">
        <v>20</v>
      </c>
      <c r="E44" s="102">
        <v>18</v>
      </c>
      <c r="F44" s="102">
        <v>16</v>
      </c>
      <c r="G44" s="186">
        <v>12</v>
      </c>
      <c r="H44" s="102">
        <v>20</v>
      </c>
      <c r="I44" s="102">
        <v>18</v>
      </c>
      <c r="J44" s="102">
        <v>16</v>
      </c>
      <c r="K44" s="102">
        <v>12</v>
      </c>
      <c r="L44" s="102">
        <v>10</v>
      </c>
      <c r="M44" s="214"/>
      <c r="N44" s="215"/>
      <c r="O44" s="216">
        <f t="shared" si="8"/>
        <v>0.4</v>
      </c>
      <c r="P44" s="217">
        <f t="shared" si="7"/>
        <v>0.36</v>
      </c>
      <c r="Q44" s="217">
        <f t="shared" si="7"/>
        <v>0.32</v>
      </c>
      <c r="R44" s="218">
        <f t="shared" si="7"/>
        <v>0.24</v>
      </c>
      <c r="S44" s="217">
        <f t="shared" si="7"/>
        <v>0.4</v>
      </c>
      <c r="T44" s="217">
        <f t="shared" si="7"/>
        <v>0.36</v>
      </c>
      <c r="U44" s="217">
        <f t="shared" si="7"/>
        <v>0.32</v>
      </c>
      <c r="V44" s="217">
        <f t="shared" si="7"/>
        <v>0.24</v>
      </c>
      <c r="W44" s="219">
        <f t="shared" si="7"/>
        <v>0.2</v>
      </c>
      <c r="X44" s="110"/>
    </row>
    <row r="45" spans="1:48" ht="18" customHeight="1" x14ac:dyDescent="0.35">
      <c r="A45" s="108"/>
      <c r="B45" s="109"/>
      <c r="C45" s="220"/>
      <c r="D45" s="221"/>
      <c r="E45" s="221"/>
      <c r="F45" s="222"/>
      <c r="G45" s="221"/>
      <c r="H45" s="221"/>
      <c r="I45" s="221"/>
      <c r="J45" s="221"/>
      <c r="K45" s="221"/>
      <c r="L45" s="223"/>
      <c r="M45" s="294" t="s">
        <v>103</v>
      </c>
      <c r="N45" s="295"/>
      <c r="O45" s="224"/>
      <c r="P45" s="224"/>
      <c r="Q45" s="225"/>
      <c r="R45" s="224"/>
      <c r="S45" s="224"/>
      <c r="T45" s="224"/>
      <c r="U45" s="224"/>
      <c r="V45" s="224"/>
      <c r="W45" s="226"/>
      <c r="X45" s="110"/>
    </row>
    <row r="46" spans="1:48" ht="17.25" customHeight="1" x14ac:dyDescent="0.35">
      <c r="A46" s="108"/>
      <c r="B46" s="109"/>
      <c r="C46" s="227" t="s">
        <v>104</v>
      </c>
      <c r="D46" s="228"/>
      <c r="E46" s="228"/>
      <c r="F46" s="229"/>
      <c r="G46" s="228"/>
      <c r="H46" s="228"/>
      <c r="I46" s="228"/>
      <c r="J46" s="228"/>
      <c r="K46" s="228"/>
      <c r="L46" s="230"/>
      <c r="M46" s="296"/>
      <c r="N46" s="297"/>
      <c r="O46" s="231"/>
      <c r="P46" s="231"/>
      <c r="Q46" s="232"/>
      <c r="R46" s="231"/>
      <c r="S46" s="231"/>
      <c r="T46" s="231"/>
      <c r="U46" s="231"/>
      <c r="V46" s="231"/>
      <c r="W46" s="233"/>
      <c r="X46" s="110"/>
    </row>
    <row r="47" spans="1:48" x14ac:dyDescent="0.35">
      <c r="A47" s="146"/>
      <c r="B47" s="292"/>
      <c r="C47" s="155" t="s">
        <v>25</v>
      </c>
      <c r="D47" s="234">
        <v>4.3706249999999995E-3</v>
      </c>
      <c r="E47" s="235">
        <v>2.0234374999999999E-2</v>
      </c>
      <c r="F47" s="235">
        <v>5.5523124999999993E-2</v>
      </c>
      <c r="G47" s="236">
        <v>0.11800687499999998</v>
      </c>
      <c r="H47" s="235">
        <v>4.3706249999999995E-3</v>
      </c>
      <c r="I47" s="235">
        <v>2.0234374999999999E-2</v>
      </c>
      <c r="J47" s="235">
        <v>5.5523124999999993E-2</v>
      </c>
      <c r="K47" s="235">
        <v>0.11800687499999998</v>
      </c>
      <c r="L47" s="237">
        <v>0.21545562499999998</v>
      </c>
      <c r="M47" s="203"/>
      <c r="N47" s="204"/>
      <c r="O47" s="199">
        <f>O35*D47*60*('[1]Site Description'!$K$18*($S$28/100))</f>
        <v>9.3200474631599981</v>
      </c>
      <c r="P47" s="200">
        <f>P35*E47*60*('[1]Site Description'!$K$18*($S$28/100))</f>
        <v>80.64841973999998</v>
      </c>
      <c r="Q47" s="200">
        <f>Q35*F47*60*('[1]Site Description'!$K$18*($S$28/100))</f>
        <v>211.85317584948231</v>
      </c>
      <c r="R47" s="201">
        <f>R35*G47*60*('[1]Site Description'!$K$18*($S$28/100))</f>
        <v>402.04465918745609</v>
      </c>
      <c r="S47" s="200">
        <f>S35*H47*60*('[1]Site Description'!$K$18*($S$28/100))</f>
        <v>14.394215079546749</v>
      </c>
      <c r="T47" s="200">
        <f>T35*I47*60*('[1]Site Description'!$K$18*($S$28/100))</f>
        <v>69.26555595290624</v>
      </c>
      <c r="U47" s="200">
        <f>U35*J47*60*('[1]Site Description'!$K$18*($S$28/100))</f>
        <v>146.72929312086606</v>
      </c>
      <c r="V47" s="200">
        <f>V35*K47*60*('[1]Site Description'!$K$18*($S$28/100))</f>
        <v>273.41181223258212</v>
      </c>
      <c r="W47" s="202">
        <f>W35*L47*60*('[1]Site Description'!$K$18*($S$28/100))</f>
        <v>395.89963789804312</v>
      </c>
      <c r="X47" s="110"/>
    </row>
    <row r="48" spans="1:48" x14ac:dyDescent="0.35">
      <c r="A48" s="146"/>
      <c r="B48" s="292"/>
      <c r="C48" s="157" t="s">
        <v>34</v>
      </c>
      <c r="D48" s="238">
        <v>6.5137499999999994E-4</v>
      </c>
      <c r="E48" s="239">
        <v>3.0156250000000001E-3</v>
      </c>
      <c r="F48" s="240"/>
      <c r="G48" s="241"/>
      <c r="H48" s="239">
        <v>6.5137499999999994E-4</v>
      </c>
      <c r="I48" s="239">
        <v>3.0156250000000001E-3</v>
      </c>
      <c r="J48" s="240"/>
      <c r="K48" s="240"/>
      <c r="L48" s="242"/>
      <c r="M48" s="203"/>
      <c r="N48" s="204"/>
      <c r="O48" s="205">
        <f>O36*D48*60*('[1]Site Description'!$K$18*($S$28/100))</f>
        <v>0.33253278684749998</v>
      </c>
      <c r="P48" s="206">
        <f>P36*E48*60*('[1]Site Description'!$K$18*($S$28/100))</f>
        <v>0.76897456818749987</v>
      </c>
      <c r="Q48" s="207"/>
      <c r="R48" s="208"/>
      <c r="S48" s="206">
        <f>S36*H48*60*('[1]Site Description'!$K$18*($S$28/100))</f>
        <v>0.297791953956</v>
      </c>
      <c r="T48" s="206">
        <f>T36*I48*60*('[1]Site Description'!$K$18*($S$28/100))</f>
        <v>0.57963568409999999</v>
      </c>
      <c r="U48" s="207"/>
      <c r="V48" s="207"/>
      <c r="W48" s="209"/>
      <c r="X48" s="110"/>
    </row>
    <row r="49" spans="1:28" ht="15" customHeight="1" x14ac:dyDescent="0.35">
      <c r="A49" s="293"/>
      <c r="B49" s="292"/>
      <c r="C49" s="157" t="s">
        <v>35</v>
      </c>
      <c r="D49" s="238">
        <v>6.5137499999999994E-4</v>
      </c>
      <c r="E49" s="239">
        <v>3.0156250000000001E-3</v>
      </c>
      <c r="F49" s="239">
        <v>8.2748749999999992E-3</v>
      </c>
      <c r="G49" s="243">
        <v>1.7587124999999999E-2</v>
      </c>
      <c r="H49" s="239">
        <v>6.5137499999999994E-4</v>
      </c>
      <c r="I49" s="239">
        <v>3.0156250000000001E-3</v>
      </c>
      <c r="J49" s="239">
        <v>8.2748749999999992E-3</v>
      </c>
      <c r="K49" s="239">
        <v>1.7587124999999999E-2</v>
      </c>
      <c r="L49" s="242"/>
      <c r="M49" s="203"/>
      <c r="N49" s="204"/>
      <c r="O49" s="205">
        <f>O37*D49*60*('[1]Site Description'!$K$18*($S$28/100))</f>
        <v>0.22451266509749995</v>
      </c>
      <c r="P49" s="206">
        <f>P37*E49*60*('[1]Site Description'!$K$18*($S$28/100))</f>
        <v>0.75227868703125012</v>
      </c>
      <c r="Q49" s="206">
        <f>Q37*F49*60*('[1]Site Description'!$K$18*($S$28/100))</f>
        <v>1.7104422318637493</v>
      </c>
      <c r="R49" s="210">
        <f>R37*G49*60*('[1]Site Description'!$K$18*($S$28/100))</f>
        <v>1.5499846313324983</v>
      </c>
      <c r="S49" s="206">
        <f>S37*H49*60*('[1]Site Description'!$K$18*($S$28/100))</f>
        <v>0.17961013207800003</v>
      </c>
      <c r="T49" s="206">
        <f>T37*I49*60*('[1]Site Description'!$K$18*($S$28/100))</f>
        <v>0.62522489925000002</v>
      </c>
      <c r="U49" s="206">
        <f>U37*J49*60*('[1]Site Description'!$K$18*($S$28/100))</f>
        <v>1.1495203469819997</v>
      </c>
      <c r="V49" s="206">
        <f>V37*K49*60*('[1]Site Description'!$K$18*($S$28/100))</f>
        <v>1.2399877050659991</v>
      </c>
      <c r="W49" s="209"/>
      <c r="X49" s="110"/>
    </row>
    <row r="50" spans="1:28" x14ac:dyDescent="0.35">
      <c r="A50" s="293"/>
      <c r="B50" s="292"/>
      <c r="C50" s="157" t="s">
        <v>36</v>
      </c>
      <c r="D50" s="238">
        <v>6.5137499999999994E-4</v>
      </c>
      <c r="E50" s="239">
        <v>3.0156250000000001E-3</v>
      </c>
      <c r="F50" s="239">
        <v>8.2748749999999992E-3</v>
      </c>
      <c r="G50" s="243">
        <v>1.7587124999999999E-2</v>
      </c>
      <c r="H50" s="239">
        <v>6.5137499999999994E-4</v>
      </c>
      <c r="I50" s="239">
        <v>3.0156250000000001E-3</v>
      </c>
      <c r="J50" s="239">
        <v>8.2748749999999992E-3</v>
      </c>
      <c r="K50" s="239">
        <v>1.7587124999999999E-2</v>
      </c>
      <c r="L50" s="242"/>
      <c r="M50" s="203"/>
      <c r="N50" s="204"/>
      <c r="O50" s="205">
        <f>O38*D50*60*('[1]Site Description'!$K$18*($S$28/100))</f>
        <v>0.11089111438349997</v>
      </c>
      <c r="P50" s="206">
        <f>P38*E50*60*('[1]Site Description'!$K$18*($S$28/100))</f>
        <v>0.38267971846874999</v>
      </c>
      <c r="Q50" s="206">
        <f>Q38*F50*60*('[1]Site Description'!$K$18*($S$28/100))</f>
        <v>1.117049141691</v>
      </c>
      <c r="R50" s="210">
        <f>R38*G50*60*('[1]Site Description'!$K$18*($S$28/100))</f>
        <v>0.47824282095749854</v>
      </c>
      <c r="S50" s="206">
        <f>S38*H50*60*('[1]Site Description'!$K$18*($S$28/100))</f>
        <v>8.8712891506799979E-2</v>
      </c>
      <c r="T50" s="206">
        <f>T38*I50*60*('[1]Site Description'!$K$18*($S$28/100))</f>
        <v>0.28692573705000002</v>
      </c>
      <c r="U50" s="206">
        <f>U38*J50*60*('[1]Site Description'!$K$18*($S$28/100))</f>
        <v>0.59688820870559978</v>
      </c>
      <c r="V50" s="206">
        <f>V38*K50*60*('[1]Site Description'!$K$18*($S$28/100))</f>
        <v>0.3825942567659989</v>
      </c>
      <c r="W50" s="209"/>
      <c r="X50" s="110"/>
    </row>
    <row r="51" spans="1:28" ht="15" customHeight="1" x14ac:dyDescent="0.35">
      <c r="A51" s="293"/>
      <c r="B51" s="154"/>
      <c r="C51" s="155" t="s">
        <v>26</v>
      </c>
      <c r="D51" s="234">
        <v>6.5137499999999994E-4</v>
      </c>
      <c r="E51" s="235">
        <v>3.0156250000000001E-3</v>
      </c>
      <c r="F51" s="235">
        <v>8.2748749999999992E-3</v>
      </c>
      <c r="G51" s="236">
        <v>1.7587124999999999E-2</v>
      </c>
      <c r="H51" s="235">
        <v>6.5137499999999994E-4</v>
      </c>
      <c r="I51" s="235">
        <v>3.0156250000000001E-3</v>
      </c>
      <c r="J51" s="235">
        <v>8.2748749999999992E-3</v>
      </c>
      <c r="K51" s="235">
        <v>1.7587124999999999E-2</v>
      </c>
      <c r="L51" s="237">
        <v>3.2110374999999997E-2</v>
      </c>
      <c r="M51" s="203"/>
      <c r="N51" s="204"/>
      <c r="O51" s="199">
        <f>O39*D51*60*('[1]Site Description'!$K$18*($S$29/100))</f>
        <v>3.3221823373462498</v>
      </c>
      <c r="P51" s="200">
        <f>P39*E51*60*('[1]Site Description'!$K$18*($S$29/100))</f>
        <v>18.016696227656251</v>
      </c>
      <c r="Q51" s="200">
        <f>Q39*F51*60*('[1]Site Description'!$K$18*($S$29/100))</f>
        <v>64.277279439450012</v>
      </c>
      <c r="R51" s="201">
        <f>R39*G51*60*('[1]Site Description'!$K$18*($S$29/100))</f>
        <v>169.02136027619997</v>
      </c>
      <c r="S51" s="200">
        <f>S39*H51*60*('[1]Site Description'!$K$18*($S$29/100))</f>
        <v>3.0731540020829997</v>
      </c>
      <c r="T51" s="200">
        <f>T39*I51*60*('[1]Site Description'!$K$18*($S$29/100))</f>
        <v>19.892689942343754</v>
      </c>
      <c r="U51" s="200">
        <f>U39*J51*60*('[1]Site Description'!$K$18*($S$29/100))</f>
        <v>64.695056597979786</v>
      </c>
      <c r="V51" s="200">
        <f>V39*K51*60*('[1]Site Description'!$K$18*($S$29/100))</f>
        <v>152.19942857342997</v>
      </c>
      <c r="W51" s="202">
        <f>W39*L51*60*('[1]Site Description'!$K$18*($S$29/100))</f>
        <v>258.65637445089749</v>
      </c>
      <c r="X51" s="110"/>
    </row>
    <row r="52" spans="1:28" x14ac:dyDescent="0.35">
      <c r="A52" s="293"/>
      <c r="B52" s="154"/>
      <c r="C52" s="157" t="s">
        <v>37</v>
      </c>
      <c r="D52" s="238">
        <v>6.5137499999999994E-4</v>
      </c>
      <c r="E52" s="239">
        <v>3.0156250000000001E-3</v>
      </c>
      <c r="F52" s="239">
        <v>8.2748749999999992E-3</v>
      </c>
      <c r="G52" s="241"/>
      <c r="H52" s="239">
        <v>6.5137499999999994E-4</v>
      </c>
      <c r="I52" s="239">
        <v>3.0156250000000001E-3</v>
      </c>
      <c r="J52" s="239">
        <v>8.2748749999999992E-3</v>
      </c>
      <c r="K52" s="240"/>
      <c r="L52" s="242"/>
      <c r="M52" s="203"/>
      <c r="N52" s="204"/>
      <c r="O52" s="205">
        <f>O40*D52*60*('[1]Site Description'!$K$18*($S$29/100))</f>
        <v>1.767579928425</v>
      </c>
      <c r="P52" s="206">
        <f>P40*E52*60*('[1]Site Description'!$K$18*($S$29/100))</f>
        <v>9.5932903275000001</v>
      </c>
      <c r="Q52" s="206">
        <f>Q40*F52*60*('[1]Site Description'!$K$18*($S$29/100))</f>
        <v>27.016312695434998</v>
      </c>
      <c r="R52" s="208"/>
      <c r="S52" s="206">
        <f>S40*H52*60*('[1]Site Description'!$K$18*($S$29/100))</f>
        <v>1.6412581167862497</v>
      </c>
      <c r="T52" s="206">
        <f>T40*I52*60*('[1]Site Description'!$K$18*($S$29/100))</f>
        <v>8.908354533375002</v>
      </c>
      <c r="U52" s="206">
        <f>U40*J52*60*('[1]Site Description'!$K$18*($S$29/100))</f>
        <v>25.291642080804749</v>
      </c>
      <c r="V52" s="207"/>
      <c r="W52" s="209"/>
      <c r="X52" s="110"/>
    </row>
    <row r="53" spans="1:28" x14ac:dyDescent="0.35">
      <c r="A53" s="293"/>
      <c r="B53" s="292"/>
      <c r="C53" s="157" t="s">
        <v>112</v>
      </c>
      <c r="D53" s="238">
        <v>6.5137499999999994E-4</v>
      </c>
      <c r="E53" s="239">
        <v>3.0156250000000001E-3</v>
      </c>
      <c r="F53" s="239">
        <v>8.2748749999999992E-3</v>
      </c>
      <c r="G53" s="241"/>
      <c r="H53" s="239">
        <v>6.5137499999999994E-4</v>
      </c>
      <c r="I53" s="239">
        <v>3.0156250000000001E-3</v>
      </c>
      <c r="J53" s="239">
        <v>8.2748749999999992E-3</v>
      </c>
      <c r="K53" s="240"/>
      <c r="L53" s="242"/>
      <c r="M53" s="203"/>
      <c r="N53" s="204"/>
      <c r="O53" s="205">
        <f>O41*D53*60*('[1]Site Description'!$K$18*($S$29/100))</f>
        <v>1.1516518440000001</v>
      </c>
      <c r="P53" s="206">
        <f>P41*E53*60*('[1]Site Description'!$K$18*($S$29/100))</f>
        <v>5.5157928375000003</v>
      </c>
      <c r="Q53" s="206">
        <f>Q41*F53*60*('[1]Site Description'!$K$18*($S$29/100))</f>
        <v>10.8159302349</v>
      </c>
      <c r="R53" s="208"/>
      <c r="S53" s="206">
        <f>S41*H53*60*('[1]Site Description'!$K$18*($S$29/100))</f>
        <v>0.97890406740000002</v>
      </c>
      <c r="T53" s="206">
        <f>T41*I53*60*('[1]Site Description'!$K$18*($S$29/100))</f>
        <v>4.6884239118749997</v>
      </c>
      <c r="U53" s="206">
        <f>U41*J53*60*('[1]Site Description'!$K$18*($S$29/100))</f>
        <v>9.1935406996650002</v>
      </c>
      <c r="V53" s="207"/>
      <c r="W53" s="209"/>
      <c r="X53" s="110"/>
    </row>
    <row r="54" spans="1:28" x14ac:dyDescent="0.35">
      <c r="A54" s="146"/>
      <c r="B54" s="292"/>
      <c r="C54" s="152" t="s">
        <v>48</v>
      </c>
      <c r="D54" s="239">
        <v>1.3027500000000001E-3</v>
      </c>
      <c r="E54" s="239">
        <v>3.61875E-3</v>
      </c>
      <c r="F54" s="239">
        <v>7.0927500000000001E-3</v>
      </c>
      <c r="G54" s="243">
        <v>1.1724749999999999E-2</v>
      </c>
      <c r="H54" s="239">
        <v>1.3027500000000001E-3</v>
      </c>
      <c r="I54" s="239">
        <v>3.61875E-3</v>
      </c>
      <c r="J54" s="239">
        <v>7.0927500000000001E-3</v>
      </c>
      <c r="K54" s="239">
        <v>1.1724749999999999E-2</v>
      </c>
      <c r="L54" s="244">
        <v>1.7514749999999999E-2</v>
      </c>
      <c r="M54" s="203"/>
      <c r="N54" s="211"/>
      <c r="O54" s="206">
        <f>O42*D54*60*('[1]Site Description'!$K$18*($S$29/100))</f>
        <v>2.796868764000001</v>
      </c>
      <c r="P54" s="206">
        <f>P42*E54*60*('[1]Site Description'!$K$18*($S$29/100))</f>
        <v>10.282605750000002</v>
      </c>
      <c r="Q54" s="206">
        <f>Q42*F54*60*('[1]Site Description'!$K$18*($S$29/100))</f>
        <v>29.111199390000003</v>
      </c>
      <c r="R54" s="210">
        <f>R42*G54*60*('[1]Site Description'!$K$18*($S$29/100))</f>
        <v>57.006766278000001</v>
      </c>
      <c r="S54" s="206">
        <f>S42*H54*60*('[1]Site Description'!$K$18*($S$29/100))</f>
        <v>2.796868764000001</v>
      </c>
      <c r="T54" s="206">
        <f>T42*I54*60*('[1]Site Description'!$K$18*($S$29/100))</f>
        <v>10.282605750000002</v>
      </c>
      <c r="U54" s="206">
        <f>U42*J54*60*('[1]Site Description'!$K$18*($S$29/100))</f>
        <v>29.111199390000003</v>
      </c>
      <c r="V54" s="206">
        <f>V42*K54*60*('[1]Site Description'!$K$18*($S$29/100))</f>
        <v>57.006766278000001</v>
      </c>
      <c r="W54" s="212">
        <f>W42*L54*60*('[1]Site Description'!$K$18*($S$29/100))</f>
        <v>110.5951374</v>
      </c>
      <c r="X54" s="110"/>
    </row>
    <row r="55" spans="1:28" ht="15" customHeight="1" x14ac:dyDescent="0.35">
      <c r="A55" s="146"/>
      <c r="B55" s="292"/>
      <c r="C55" s="152" t="s">
        <v>49</v>
      </c>
      <c r="D55" s="239">
        <v>1.3027500000000001E-3</v>
      </c>
      <c r="E55" s="239">
        <v>3.61875E-3</v>
      </c>
      <c r="F55" s="239">
        <v>7.0927500000000001E-3</v>
      </c>
      <c r="G55" s="243">
        <v>1.1724749999999999E-2</v>
      </c>
      <c r="H55" s="239">
        <v>1.3027500000000001E-3</v>
      </c>
      <c r="I55" s="239">
        <v>3.61875E-3</v>
      </c>
      <c r="J55" s="239">
        <v>7.0927500000000001E-3</v>
      </c>
      <c r="K55" s="239">
        <v>1.1724749999999999E-2</v>
      </c>
      <c r="L55" s="244">
        <v>1.7514749999999999E-2</v>
      </c>
      <c r="M55" s="203"/>
      <c r="N55" s="211"/>
      <c r="O55" s="206">
        <f>O43*D55*60*('[1]Site Description'!$K$18*($S$29/100))</f>
        <v>3.1259121480000007</v>
      </c>
      <c r="P55" s="206">
        <f>P43*E55*60*('[1]Site Description'!$K$18*($S$29/100))</f>
        <v>11.653619850000002</v>
      </c>
      <c r="Q55" s="206">
        <f>Q43*F55*60*('[1]Site Description'!$K$18*($S$29/100))</f>
        <v>33.589845450000006</v>
      </c>
      <c r="R55" s="210">
        <f>R43*G55*60*('[1]Site Description'!$K$18*($S$29/100))</f>
        <v>53.305028207999996</v>
      </c>
      <c r="S55" s="206">
        <f>S43*H55*60*('[1]Site Description'!$K$18*($S$29/100))</f>
        <v>3.1259121480000007</v>
      </c>
      <c r="T55" s="206">
        <f>T43*I55*60*('[1]Site Description'!$K$18*($S$29/100))</f>
        <v>11.653619850000002</v>
      </c>
      <c r="U55" s="206">
        <f>U43*J55*60*('[1]Site Description'!$K$18*($S$29/100))</f>
        <v>33.589845450000006</v>
      </c>
      <c r="V55" s="206">
        <f>V43*K55*60*('[1]Site Description'!$K$18*($S$29/100))</f>
        <v>53.305028207999996</v>
      </c>
      <c r="W55" s="212">
        <f>W43*L55*60*('[1]Site Description'!$K$18*($S$29/100))</f>
        <v>82.946353049999999</v>
      </c>
      <c r="X55" s="110"/>
    </row>
    <row r="56" spans="1:28" ht="15" thickBot="1" x14ac:dyDescent="0.4">
      <c r="A56" s="146"/>
      <c r="B56" s="292"/>
      <c r="C56" s="183" t="s">
        <v>50</v>
      </c>
      <c r="D56" s="245"/>
      <c r="E56" s="246"/>
      <c r="F56" s="246"/>
      <c r="G56" s="247"/>
      <c r="H56" s="246"/>
      <c r="I56" s="246"/>
      <c r="J56" s="246"/>
      <c r="K56" s="246"/>
      <c r="L56" s="248"/>
      <c r="M56" s="214"/>
      <c r="N56" s="215"/>
      <c r="O56" s="216">
        <f>O44*D56*60*('[1]Site Description'!$K$18*($S$29/100))</f>
        <v>0</v>
      </c>
      <c r="P56" s="217">
        <f>P44*E56*60*('[1]Site Description'!$K$18*($S$29/100))</f>
        <v>0</v>
      </c>
      <c r="Q56" s="217">
        <f>Q44*F56*60*('[1]Site Description'!$K$18*($S$29/100))</f>
        <v>0</v>
      </c>
      <c r="R56" s="218">
        <f>R44*G56*60*('[1]Site Description'!$K$18*($S$29/100))</f>
        <v>0</v>
      </c>
      <c r="S56" s="217">
        <f>S44*H56*60*('[1]Site Description'!$K$18*($S$29/100))</f>
        <v>0</v>
      </c>
      <c r="T56" s="217">
        <f>T44*I56*60*('[1]Site Description'!$K$18*($S$29/100))</f>
        <v>0</v>
      </c>
      <c r="U56" s="217">
        <f>U44*J56*60*('[1]Site Description'!$K$18*($S$29/100))</f>
        <v>0</v>
      </c>
      <c r="V56" s="217">
        <f>V44*K56*60*('[1]Site Description'!$K$18*($S$29/100))</f>
        <v>0</v>
      </c>
      <c r="W56" s="219">
        <f>W44*L56*60*('[1]Site Description'!$K$18*($S$29/100))</f>
        <v>0</v>
      </c>
      <c r="X56" s="110"/>
    </row>
    <row r="57" spans="1:28" ht="15" customHeight="1" x14ac:dyDescent="0.35">
      <c r="A57" s="108"/>
      <c r="B57" s="109"/>
      <c r="C57" s="220"/>
      <c r="D57" s="228"/>
      <c r="E57" s="228"/>
      <c r="F57" s="229"/>
      <c r="G57" s="228"/>
      <c r="H57" s="228"/>
      <c r="I57" s="228"/>
      <c r="J57" s="228"/>
      <c r="K57" s="228"/>
      <c r="L57" s="228"/>
      <c r="M57" s="294" t="s">
        <v>86</v>
      </c>
      <c r="N57" s="295"/>
      <c r="O57" s="249"/>
      <c r="P57" s="224"/>
      <c r="Q57" s="225"/>
      <c r="R57" s="224"/>
      <c r="S57" s="224"/>
      <c r="T57" s="224"/>
      <c r="U57" s="224"/>
      <c r="V57" s="224"/>
      <c r="W57" s="226"/>
      <c r="X57" s="110"/>
    </row>
    <row r="58" spans="1:28" x14ac:dyDescent="0.35">
      <c r="A58" s="108"/>
      <c r="B58" s="109"/>
      <c r="C58" s="250" t="s">
        <v>87</v>
      </c>
      <c r="D58" s="109"/>
      <c r="E58" s="109"/>
      <c r="F58" s="251"/>
      <c r="G58" s="109"/>
      <c r="H58" s="109"/>
      <c r="I58" s="109"/>
      <c r="J58" s="109"/>
      <c r="K58" s="109"/>
      <c r="L58" s="109"/>
      <c r="M58" s="296"/>
      <c r="N58" s="297"/>
      <c r="O58" s="231"/>
      <c r="P58" s="231"/>
      <c r="Q58" s="232"/>
      <c r="R58" s="231"/>
      <c r="S58" s="231"/>
      <c r="T58" s="231"/>
      <c r="U58" s="231"/>
      <c r="V58" s="231"/>
      <c r="W58" s="233"/>
      <c r="X58" s="110"/>
    </row>
    <row r="59" spans="1:28" x14ac:dyDescent="0.35">
      <c r="A59" s="146"/>
      <c r="B59" s="292"/>
      <c r="C59" s="147" t="s">
        <v>25</v>
      </c>
      <c r="D59" s="252">
        <f>(O47*$D$31)/1000</f>
        <v>1.6030481636635199E-2</v>
      </c>
      <c r="E59" s="253">
        <f t="shared" ref="E59:L68" si="9">(P47*$D$31)/1000</f>
        <v>0.13871528195279995</v>
      </c>
      <c r="F59" s="253">
        <f t="shared" si="9"/>
        <v>0.36438746246110959</v>
      </c>
      <c r="G59" s="254">
        <f t="shared" si="9"/>
        <v>0.69151681380242447</v>
      </c>
      <c r="H59" s="253">
        <f t="shared" si="9"/>
        <v>2.4758049936820407E-2</v>
      </c>
      <c r="I59" s="253">
        <f t="shared" si="9"/>
        <v>0.11913675623899873</v>
      </c>
      <c r="J59" s="253">
        <f t="shared" si="9"/>
        <v>0.2523743841678896</v>
      </c>
      <c r="K59" s="253">
        <f t="shared" si="9"/>
        <v>0.47026831704004129</v>
      </c>
      <c r="L59" s="255">
        <f t="shared" si="9"/>
        <v>0.68094737718463416</v>
      </c>
      <c r="M59" s="203"/>
      <c r="N59" s="204"/>
      <c r="O59" s="199">
        <f>D59*365</f>
        <v>5.8511257973718473</v>
      </c>
      <c r="P59" s="200">
        <f t="shared" ref="P59:W68" si="10">E59*365</f>
        <v>50.631077912771978</v>
      </c>
      <c r="Q59" s="200">
        <f t="shared" si="10"/>
        <v>133.00142379830501</v>
      </c>
      <c r="R59" s="201">
        <f t="shared" si="10"/>
        <v>252.40363703788492</v>
      </c>
      <c r="S59" s="200">
        <f t="shared" si="10"/>
        <v>9.0366882269394484</v>
      </c>
      <c r="T59" s="200">
        <f t="shared" si="10"/>
        <v>43.48491602723454</v>
      </c>
      <c r="U59" s="200">
        <f t="shared" si="10"/>
        <v>92.116650221279698</v>
      </c>
      <c r="V59" s="200">
        <f t="shared" si="10"/>
        <v>171.64793571961508</v>
      </c>
      <c r="W59" s="202">
        <f t="shared" si="10"/>
        <v>248.54579267239146</v>
      </c>
      <c r="X59" s="110"/>
    </row>
    <row r="60" spans="1:28" x14ac:dyDescent="0.35">
      <c r="A60" s="146"/>
      <c r="B60" s="292"/>
      <c r="C60" s="152" t="s">
        <v>34</v>
      </c>
      <c r="D60" s="256">
        <f t="shared" ref="D60:D68" si="11">(O48*$D$31)/1000</f>
        <v>5.7195639337769997E-4</v>
      </c>
      <c r="E60" s="257">
        <f t="shared" si="9"/>
        <v>1.3226362572824996E-3</v>
      </c>
      <c r="F60" s="258"/>
      <c r="G60" s="259"/>
      <c r="H60" s="257">
        <f t="shared" si="9"/>
        <v>5.1220216080432007E-4</v>
      </c>
      <c r="I60" s="257">
        <f t="shared" si="9"/>
        <v>9.9697337665199991E-4</v>
      </c>
      <c r="J60" s="258"/>
      <c r="K60" s="258"/>
      <c r="L60" s="260"/>
      <c r="M60" s="203"/>
      <c r="N60" s="204"/>
      <c r="O60" s="205">
        <f t="shared" ref="O60:O68" si="12">D60*365</f>
        <v>0.2087640835828605</v>
      </c>
      <c r="P60" s="206">
        <f t="shared" si="10"/>
        <v>0.48276223390811235</v>
      </c>
      <c r="Q60" s="207"/>
      <c r="R60" s="208"/>
      <c r="S60" s="206">
        <f t="shared" si="10"/>
        <v>0.18695378869357682</v>
      </c>
      <c r="T60" s="206">
        <f t="shared" si="10"/>
        <v>0.36389528247797998</v>
      </c>
      <c r="U60" s="207"/>
      <c r="V60" s="207"/>
      <c r="W60" s="209"/>
      <c r="X60" s="110"/>
      <c r="Y60" s="213"/>
      <c r="Z60" s="213"/>
      <c r="AA60" s="213"/>
      <c r="AB60" s="213"/>
    </row>
    <row r="61" spans="1:28" x14ac:dyDescent="0.35">
      <c r="A61" s="293"/>
      <c r="B61" s="292"/>
      <c r="C61" s="152" t="s">
        <v>35</v>
      </c>
      <c r="D61" s="256">
        <f t="shared" si="11"/>
        <v>3.8616178396769989E-4</v>
      </c>
      <c r="E61" s="257">
        <f t="shared" si="9"/>
        <v>1.2939193416937503E-3</v>
      </c>
      <c r="F61" s="257">
        <f t="shared" si="9"/>
        <v>2.9419606388056485E-3</v>
      </c>
      <c r="G61" s="261">
        <f t="shared" si="9"/>
        <v>2.665973565891897E-3</v>
      </c>
      <c r="H61" s="257">
        <f t="shared" si="9"/>
        <v>3.0892942717416003E-4</v>
      </c>
      <c r="I61" s="257">
        <f t="shared" si="9"/>
        <v>1.0753868267099999E-3</v>
      </c>
      <c r="J61" s="257">
        <f t="shared" si="9"/>
        <v>1.9771749968090393E-3</v>
      </c>
      <c r="K61" s="257">
        <f t="shared" si="9"/>
        <v>2.1327788527135184E-3</v>
      </c>
      <c r="L61" s="260"/>
      <c r="M61" s="203"/>
      <c r="N61" s="204"/>
      <c r="O61" s="205">
        <f t="shared" si="12"/>
        <v>0.14094905114821046</v>
      </c>
      <c r="P61" s="206">
        <f t="shared" si="10"/>
        <v>0.47228055971821886</v>
      </c>
      <c r="Q61" s="206">
        <f t="shared" si="10"/>
        <v>1.0738156331640618</v>
      </c>
      <c r="R61" s="210">
        <f t="shared" si="10"/>
        <v>0.9730803515505424</v>
      </c>
      <c r="S61" s="206">
        <f t="shared" si="10"/>
        <v>0.11275924091856841</v>
      </c>
      <c r="T61" s="206">
        <f t="shared" si="10"/>
        <v>0.39251619174914998</v>
      </c>
      <c r="U61" s="206">
        <f t="shared" si="10"/>
        <v>0.72166887383529932</v>
      </c>
      <c r="V61" s="206">
        <f t="shared" si="10"/>
        <v>0.77846428124043421</v>
      </c>
      <c r="W61" s="209"/>
      <c r="X61" s="110"/>
      <c r="Y61" s="213"/>
      <c r="Z61" s="213"/>
      <c r="AA61" s="213"/>
      <c r="AB61" s="213"/>
    </row>
    <row r="62" spans="1:28" x14ac:dyDescent="0.35">
      <c r="A62" s="293"/>
      <c r="B62" s="292"/>
      <c r="C62" s="152" t="s">
        <v>36</v>
      </c>
      <c r="D62" s="256">
        <f t="shared" si="11"/>
        <v>1.9073271673961996E-4</v>
      </c>
      <c r="E62" s="257">
        <f t="shared" si="9"/>
        <v>6.5820911576624998E-4</v>
      </c>
      <c r="F62" s="257">
        <f t="shared" si="9"/>
        <v>1.92132452370852E-3</v>
      </c>
      <c r="G62" s="261">
        <f t="shared" si="9"/>
        <v>8.225776520468975E-4</v>
      </c>
      <c r="H62" s="257">
        <f t="shared" si="9"/>
        <v>1.5258617339169599E-4</v>
      </c>
      <c r="I62" s="257">
        <f t="shared" si="9"/>
        <v>4.9351226772599999E-4</v>
      </c>
      <c r="J62" s="257">
        <f t="shared" si="9"/>
        <v>1.0266477189736316E-3</v>
      </c>
      <c r="K62" s="257">
        <f t="shared" si="9"/>
        <v>6.5806212163751804E-4</v>
      </c>
      <c r="L62" s="260"/>
      <c r="M62" s="203"/>
      <c r="N62" s="204"/>
      <c r="O62" s="205">
        <f t="shared" si="12"/>
        <v>6.9617441609961278E-2</v>
      </c>
      <c r="P62" s="206">
        <f t="shared" si="10"/>
        <v>0.24024632725468123</v>
      </c>
      <c r="Q62" s="206">
        <f t="shared" si="10"/>
        <v>0.70128345115360979</v>
      </c>
      <c r="R62" s="210">
        <f t="shared" si="10"/>
        <v>0.30024084299711756</v>
      </c>
      <c r="S62" s="206">
        <f t="shared" si="10"/>
        <v>5.5693953287969035E-2</v>
      </c>
      <c r="T62" s="206">
        <f t="shared" si="10"/>
        <v>0.18013197771999001</v>
      </c>
      <c r="U62" s="206">
        <f t="shared" si="10"/>
        <v>0.37472641742537555</v>
      </c>
      <c r="V62" s="206">
        <f t="shared" si="10"/>
        <v>0.24019267439769409</v>
      </c>
      <c r="W62" s="209"/>
      <c r="X62" s="110"/>
      <c r="Y62" s="213"/>
      <c r="Z62" s="213"/>
      <c r="AA62" s="213"/>
      <c r="AB62" s="213"/>
    </row>
    <row r="63" spans="1:28" x14ac:dyDescent="0.35">
      <c r="A63" s="293"/>
      <c r="B63" s="154"/>
      <c r="C63" s="147" t="s">
        <v>26</v>
      </c>
      <c r="D63" s="252">
        <f t="shared" si="11"/>
        <v>5.71415362023555E-3</v>
      </c>
      <c r="E63" s="253">
        <f t="shared" si="9"/>
        <v>3.0988717511568752E-2</v>
      </c>
      <c r="F63" s="253">
        <f t="shared" si="9"/>
        <v>0.11055692063585401</v>
      </c>
      <c r="G63" s="254">
        <f t="shared" si="9"/>
        <v>0.29071673967506395</v>
      </c>
      <c r="H63" s="253">
        <f t="shared" si="9"/>
        <v>5.2858248835827596E-3</v>
      </c>
      <c r="I63" s="253">
        <f t="shared" si="9"/>
        <v>3.4215426700831261E-2</v>
      </c>
      <c r="J63" s="253">
        <f t="shared" si="9"/>
        <v>0.11127549734852524</v>
      </c>
      <c r="K63" s="253">
        <f t="shared" si="9"/>
        <v>0.26178301714629953</v>
      </c>
      <c r="L63" s="255">
        <f t="shared" si="9"/>
        <v>0.44488896405554368</v>
      </c>
      <c r="M63" s="203"/>
      <c r="N63" s="204"/>
      <c r="O63" s="199">
        <f t="shared" si="12"/>
        <v>2.0856660713859756</v>
      </c>
      <c r="P63" s="200">
        <f t="shared" si="10"/>
        <v>11.310881891722595</v>
      </c>
      <c r="Q63" s="200">
        <f t="shared" si="10"/>
        <v>40.353276032086711</v>
      </c>
      <c r="R63" s="201">
        <f t="shared" si="10"/>
        <v>106.11160998139835</v>
      </c>
      <c r="S63" s="200">
        <f t="shared" si="10"/>
        <v>1.9293260825077072</v>
      </c>
      <c r="T63" s="200">
        <f t="shared" si="10"/>
        <v>12.488630745803411</v>
      </c>
      <c r="U63" s="200">
        <f t="shared" si="10"/>
        <v>40.615556532211713</v>
      </c>
      <c r="V63" s="200">
        <f t="shared" si="10"/>
        <v>95.550801258399332</v>
      </c>
      <c r="W63" s="202">
        <f t="shared" si="10"/>
        <v>162.38447188027345</v>
      </c>
      <c r="X63" s="110"/>
      <c r="Y63" s="213"/>
      <c r="Z63" s="213"/>
      <c r="AA63" s="213"/>
      <c r="AB63" s="213"/>
    </row>
    <row r="64" spans="1:28" x14ac:dyDescent="0.35">
      <c r="A64" s="293"/>
      <c r="B64" s="154"/>
      <c r="C64" s="152" t="s">
        <v>37</v>
      </c>
      <c r="D64" s="256">
        <f t="shared" si="11"/>
        <v>3.0402374768909997E-3</v>
      </c>
      <c r="E64" s="257">
        <f t="shared" si="9"/>
        <v>1.65004593633E-2</v>
      </c>
      <c r="F64" s="257">
        <f t="shared" si="9"/>
        <v>4.6468057836148199E-2</v>
      </c>
      <c r="G64" s="259"/>
      <c r="H64" s="257">
        <f t="shared" si="9"/>
        <v>2.8229639608723495E-3</v>
      </c>
      <c r="I64" s="257">
        <f t="shared" si="9"/>
        <v>1.5322369797405002E-2</v>
      </c>
      <c r="J64" s="257">
        <f t="shared" si="9"/>
        <v>4.3501624378984166E-2</v>
      </c>
      <c r="K64" s="258"/>
      <c r="L64" s="260"/>
      <c r="M64" s="203"/>
      <c r="N64" s="204"/>
      <c r="O64" s="205">
        <f t="shared" si="12"/>
        <v>1.1096866790652149</v>
      </c>
      <c r="P64" s="206">
        <f t="shared" si="10"/>
        <v>6.0226676676044999</v>
      </c>
      <c r="Q64" s="206">
        <f t="shared" si="10"/>
        <v>16.960841110194092</v>
      </c>
      <c r="R64" s="208"/>
      <c r="S64" s="206">
        <f t="shared" si="10"/>
        <v>1.0303818457184075</v>
      </c>
      <c r="T64" s="206">
        <f t="shared" si="10"/>
        <v>5.5926649760528253</v>
      </c>
      <c r="U64" s="206">
        <f t="shared" si="10"/>
        <v>15.878092898329221</v>
      </c>
      <c r="V64" s="207"/>
      <c r="W64" s="209"/>
      <c r="X64" s="110"/>
      <c r="Y64" s="213"/>
      <c r="Z64" s="213"/>
      <c r="AA64" s="213"/>
      <c r="AB64" s="213"/>
    </row>
    <row r="65" spans="1:28" x14ac:dyDescent="0.35">
      <c r="A65" s="293"/>
      <c r="B65" s="292"/>
      <c r="C65" s="157" t="s">
        <v>112</v>
      </c>
      <c r="D65" s="256">
        <f t="shared" si="11"/>
        <v>1.9808411716800002E-3</v>
      </c>
      <c r="E65" s="257">
        <f t="shared" si="9"/>
        <v>9.4871636804999999E-3</v>
      </c>
      <c r="F65" s="257">
        <f t="shared" si="9"/>
        <v>1.8603400004027999E-2</v>
      </c>
      <c r="G65" s="259"/>
      <c r="H65" s="257">
        <f t="shared" si="9"/>
        <v>1.683714995928E-3</v>
      </c>
      <c r="I65" s="257">
        <f t="shared" si="9"/>
        <v>8.0640891284249998E-3</v>
      </c>
      <c r="J65" s="257">
        <f t="shared" si="9"/>
        <v>1.5812890003423799E-2</v>
      </c>
      <c r="K65" s="258"/>
      <c r="L65" s="260"/>
      <c r="M65" s="203"/>
      <c r="N65" s="204"/>
      <c r="O65" s="205">
        <f t="shared" si="12"/>
        <v>0.72300702766320002</v>
      </c>
      <c r="P65" s="206">
        <f t="shared" si="10"/>
        <v>3.4628147433824998</v>
      </c>
      <c r="Q65" s="206">
        <f t="shared" si="10"/>
        <v>6.7902410014702195</v>
      </c>
      <c r="R65" s="208"/>
      <c r="S65" s="206">
        <f t="shared" si="10"/>
        <v>0.61455597351372004</v>
      </c>
      <c r="T65" s="206">
        <f t="shared" si="10"/>
        <v>2.9433925318751251</v>
      </c>
      <c r="U65" s="206">
        <f t="shared" si="10"/>
        <v>5.7717048512496865</v>
      </c>
      <c r="V65" s="207"/>
      <c r="W65" s="209"/>
      <c r="X65" s="110"/>
      <c r="Y65" s="213"/>
      <c r="Z65" s="213"/>
      <c r="AA65" s="213"/>
      <c r="AB65" s="213"/>
    </row>
    <row r="66" spans="1:28" x14ac:dyDescent="0.35">
      <c r="A66" s="146"/>
      <c r="B66" s="292"/>
      <c r="C66" s="152" t="s">
        <v>48</v>
      </c>
      <c r="D66" s="257">
        <f t="shared" si="11"/>
        <v>4.8106142740800013E-3</v>
      </c>
      <c r="E66" s="257">
        <f t="shared" si="9"/>
        <v>1.7686081890000004E-2</v>
      </c>
      <c r="F66" s="257">
        <f t="shared" si="9"/>
        <v>5.0071262950800006E-2</v>
      </c>
      <c r="G66" s="261">
        <f t="shared" si="9"/>
        <v>9.805163799816001E-2</v>
      </c>
      <c r="H66" s="257">
        <f t="shared" si="9"/>
        <v>4.8106142740800013E-3</v>
      </c>
      <c r="I66" s="257">
        <f t="shared" si="9"/>
        <v>1.7686081890000004E-2</v>
      </c>
      <c r="J66" s="257">
        <f t="shared" si="9"/>
        <v>5.0071262950800006E-2</v>
      </c>
      <c r="K66" s="257">
        <f t="shared" si="9"/>
        <v>9.805163799816001E-2</v>
      </c>
      <c r="L66" s="257">
        <f t="shared" si="9"/>
        <v>0.19022363632799999</v>
      </c>
      <c r="M66" s="203"/>
      <c r="N66" s="211"/>
      <c r="O66" s="206">
        <f t="shared" si="12"/>
        <v>1.7558742100392004</v>
      </c>
      <c r="P66" s="206">
        <f t="shared" si="10"/>
        <v>6.4554198898500017</v>
      </c>
      <c r="Q66" s="206">
        <f t="shared" si="10"/>
        <v>18.276010977042002</v>
      </c>
      <c r="R66" s="210">
        <f t="shared" si="10"/>
        <v>35.788847869328407</v>
      </c>
      <c r="S66" s="206">
        <f t="shared" si="10"/>
        <v>1.7558742100392004</v>
      </c>
      <c r="T66" s="206">
        <f t="shared" si="10"/>
        <v>6.4554198898500017</v>
      </c>
      <c r="U66" s="206">
        <f t="shared" si="10"/>
        <v>18.276010977042002</v>
      </c>
      <c r="V66" s="206">
        <f t="shared" si="10"/>
        <v>35.788847869328407</v>
      </c>
      <c r="W66" s="212">
        <f t="shared" si="10"/>
        <v>69.431627259720003</v>
      </c>
      <c r="X66" s="110"/>
      <c r="Y66" s="213"/>
      <c r="Z66" s="213"/>
      <c r="AA66" s="213"/>
      <c r="AB66" s="213"/>
    </row>
    <row r="67" spans="1:28" x14ac:dyDescent="0.35">
      <c r="A67" s="146"/>
      <c r="B67" s="292"/>
      <c r="C67" s="152" t="s">
        <v>49</v>
      </c>
      <c r="D67" s="257">
        <f t="shared" si="11"/>
        <v>5.3765688945600007E-3</v>
      </c>
      <c r="E67" s="257">
        <f t="shared" si="9"/>
        <v>2.0044226142000004E-2</v>
      </c>
      <c r="F67" s="257">
        <f t="shared" si="9"/>
        <v>5.7774534174000011E-2</v>
      </c>
      <c r="G67" s="261">
        <f t="shared" si="9"/>
        <v>9.1684648517759995E-2</v>
      </c>
      <c r="H67" s="257">
        <f t="shared" si="9"/>
        <v>5.3765688945600007E-3</v>
      </c>
      <c r="I67" s="257">
        <f t="shared" si="9"/>
        <v>2.0044226142000004E-2</v>
      </c>
      <c r="J67" s="257">
        <f t="shared" si="9"/>
        <v>5.7774534174000011E-2</v>
      </c>
      <c r="K67" s="257">
        <f t="shared" si="9"/>
        <v>9.1684648517759995E-2</v>
      </c>
      <c r="L67" s="257">
        <f t="shared" si="9"/>
        <v>0.14266772724599999</v>
      </c>
      <c r="M67" s="203"/>
      <c r="N67" s="211"/>
      <c r="O67" s="206">
        <f t="shared" si="12"/>
        <v>1.9624476465144003</v>
      </c>
      <c r="P67" s="206">
        <f t="shared" si="10"/>
        <v>7.3161425418300015</v>
      </c>
      <c r="Q67" s="206">
        <f t="shared" si="10"/>
        <v>21.087704973510004</v>
      </c>
      <c r="R67" s="210">
        <f t="shared" si="10"/>
        <v>33.464896708982401</v>
      </c>
      <c r="S67" s="206">
        <f t="shared" si="10"/>
        <v>1.9624476465144003</v>
      </c>
      <c r="T67" s="206">
        <f t="shared" si="10"/>
        <v>7.3161425418300015</v>
      </c>
      <c r="U67" s="206">
        <f t="shared" si="10"/>
        <v>21.087704973510004</v>
      </c>
      <c r="V67" s="206">
        <f t="shared" si="10"/>
        <v>33.464896708982401</v>
      </c>
      <c r="W67" s="212">
        <f t="shared" si="10"/>
        <v>52.073720444789998</v>
      </c>
      <c r="X67" s="110"/>
      <c r="Y67" s="213"/>
      <c r="Z67" s="213"/>
      <c r="AA67" s="213"/>
      <c r="AB67" s="213"/>
    </row>
    <row r="68" spans="1:28" ht="15" thickBot="1" x14ac:dyDescent="0.4">
      <c r="A68" s="146"/>
      <c r="B68" s="292"/>
      <c r="C68" s="262" t="s">
        <v>50</v>
      </c>
      <c r="D68" s="263">
        <f t="shared" si="11"/>
        <v>0</v>
      </c>
      <c r="E68" s="264">
        <f t="shared" si="9"/>
        <v>0</v>
      </c>
      <c r="F68" s="264">
        <f t="shared" si="9"/>
        <v>0</v>
      </c>
      <c r="G68" s="265">
        <f t="shared" si="9"/>
        <v>0</v>
      </c>
      <c r="H68" s="264">
        <f t="shared" si="9"/>
        <v>0</v>
      </c>
      <c r="I68" s="264">
        <f t="shared" si="9"/>
        <v>0</v>
      </c>
      <c r="J68" s="264">
        <f t="shared" si="9"/>
        <v>0</v>
      </c>
      <c r="K68" s="264">
        <f t="shared" si="9"/>
        <v>0</v>
      </c>
      <c r="L68" s="264">
        <f t="shared" si="9"/>
        <v>0</v>
      </c>
      <c r="M68" s="214"/>
      <c r="N68" s="215"/>
      <c r="O68" s="216">
        <f t="shared" si="12"/>
        <v>0</v>
      </c>
      <c r="P68" s="217">
        <f t="shared" si="10"/>
        <v>0</v>
      </c>
      <c r="Q68" s="217">
        <f t="shared" si="10"/>
        <v>0</v>
      </c>
      <c r="R68" s="218">
        <f t="shared" si="10"/>
        <v>0</v>
      </c>
      <c r="S68" s="217">
        <f t="shared" si="10"/>
        <v>0</v>
      </c>
      <c r="T68" s="217">
        <f t="shared" si="10"/>
        <v>0</v>
      </c>
      <c r="U68" s="217">
        <f t="shared" si="10"/>
        <v>0</v>
      </c>
      <c r="V68" s="217">
        <f t="shared" si="10"/>
        <v>0</v>
      </c>
      <c r="W68" s="219">
        <f t="shared" si="10"/>
        <v>0</v>
      </c>
      <c r="X68" s="110"/>
      <c r="Y68" s="213"/>
      <c r="Z68" s="213"/>
      <c r="AA68" s="213"/>
      <c r="AB68" s="213"/>
    </row>
    <row r="69" spans="1:28" ht="15" thickBot="1" x14ac:dyDescent="0.4">
      <c r="A69" s="266"/>
      <c r="B69" s="267"/>
      <c r="C69" s="267"/>
      <c r="D69" s="267"/>
      <c r="E69" s="267"/>
      <c r="F69" s="267"/>
      <c r="G69" s="267"/>
      <c r="H69" s="267"/>
      <c r="I69" s="267"/>
      <c r="J69" s="267"/>
      <c r="K69" s="267"/>
      <c r="L69" s="267"/>
      <c r="M69" s="267"/>
      <c r="N69" s="267"/>
      <c r="O69" s="267"/>
      <c r="P69" s="267"/>
      <c r="Q69" s="267"/>
      <c r="R69" s="267"/>
      <c r="S69" s="267"/>
      <c r="T69" s="267"/>
      <c r="U69" s="267"/>
      <c r="V69" s="267"/>
      <c r="W69" s="267"/>
      <c r="X69" s="268"/>
      <c r="Y69" s="213"/>
      <c r="Z69" s="213"/>
      <c r="AA69" s="213"/>
      <c r="AB69" s="213"/>
    </row>
  </sheetData>
  <mergeCells count="43">
    <mergeCell ref="M6:T6"/>
    <mergeCell ref="C2:T2"/>
    <mergeCell ref="D3:G3"/>
    <mergeCell ref="H3:L3"/>
    <mergeCell ref="M3:T4"/>
    <mergeCell ref="M5:T5"/>
    <mergeCell ref="M13:T13"/>
    <mergeCell ref="M14:T14"/>
    <mergeCell ref="M15:T15"/>
    <mergeCell ref="M16:T16"/>
    <mergeCell ref="M7:T7"/>
    <mergeCell ref="M8:T8"/>
    <mergeCell ref="M9:T9"/>
    <mergeCell ref="M10:T10"/>
    <mergeCell ref="M11:T11"/>
    <mergeCell ref="M12:T12"/>
    <mergeCell ref="A22:A26"/>
    <mergeCell ref="AJ24:AP24"/>
    <mergeCell ref="Z25:AF25"/>
    <mergeCell ref="B26:B29"/>
    <mergeCell ref="O28:R28"/>
    <mergeCell ref="O29:R29"/>
    <mergeCell ref="S33:W33"/>
    <mergeCell ref="C18:C19"/>
    <mergeCell ref="D18:G18"/>
    <mergeCell ref="H18:L18"/>
    <mergeCell ref="B20:B23"/>
    <mergeCell ref="C33:C34"/>
    <mergeCell ref="D33:G33"/>
    <mergeCell ref="H33:L33"/>
    <mergeCell ref="M33:N34"/>
    <mergeCell ref="O33:R33"/>
    <mergeCell ref="B65:B68"/>
    <mergeCell ref="B35:B38"/>
    <mergeCell ref="A37:A41"/>
    <mergeCell ref="B41:B44"/>
    <mergeCell ref="M45:N46"/>
    <mergeCell ref="B47:B50"/>
    <mergeCell ref="A49:A53"/>
    <mergeCell ref="B53:B56"/>
    <mergeCell ref="M57:N58"/>
    <mergeCell ref="B59:B62"/>
    <mergeCell ref="A61:A6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Bite rates</vt:lpstr>
      <vt:lpstr>Scar volume</vt:lpstr>
      <vt:lpstr>Proportion leaving scars</vt:lpstr>
      <vt:lpstr>Equations</vt:lpstr>
    </vt:vector>
  </TitlesOfParts>
  <Company>University of Exeter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Lange, Ines</dc:creator>
  <cp:lastModifiedBy>Lange, Ines</cp:lastModifiedBy>
  <dcterms:created xsi:type="dcterms:W3CDTF">2018-04-16T14:58:08Z</dcterms:created>
  <dcterms:modified xsi:type="dcterms:W3CDTF">2019-06-17T10:41:11Z</dcterms:modified>
</cp:coreProperties>
</file>