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ttps://universityofexeteruk-my.sharepoint.com/personal/c_perry_exeter_ac_uk/Documents/Research folder/ReefBudget - Leverhulme International Network/Indian Ocean spreadsheets and files/"/>
    </mc:Choice>
  </mc:AlternateContent>
  <xr:revisionPtr revIDLastSave="0" documentId="8_{7B212690-54F1-4E82-AB76-C5E0B2CC4AFC}" xr6:coauthVersionLast="47" xr6:coauthVersionMax="47" xr10:uidLastSave="{00000000-0000-0000-0000-000000000000}"/>
  <bookViews>
    <workbookView xWindow="-108" yWindow="-108" windowWidth="23256" windowHeight="12576" xr2:uid="{00000000-000D-0000-FFFF-FFFF00000000}"/>
  </bookViews>
  <sheets>
    <sheet name="Notes" sheetId="6" r:id="rId1"/>
    <sheet name="Bite rates" sheetId="1" r:id="rId2"/>
    <sheet name="Bite areas" sheetId="3" r:id="rId3"/>
    <sheet name="Proportion bites on turf" sheetId="4" r:id="rId4"/>
    <sheet name="Equations" sheetId="9" r:id="rId5"/>
    <sheet name="Biomass length-weight relation" sheetId="8"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9" l="1"/>
  <c r="K27" i="9"/>
  <c r="F16" i="9"/>
  <c r="K22" i="9"/>
  <c r="G22" i="9"/>
  <c r="K19" i="9"/>
  <c r="G19" i="9"/>
  <c r="E7" i="9"/>
  <c r="F7" i="9"/>
  <c r="G7" i="9"/>
  <c r="H7" i="9"/>
  <c r="I7" i="9"/>
  <c r="J7" i="9"/>
  <c r="K7" i="9"/>
  <c r="L7" i="9"/>
  <c r="M7" i="9"/>
  <c r="E8" i="9"/>
  <c r="F8" i="9"/>
  <c r="G8" i="9"/>
  <c r="H8" i="9"/>
  <c r="I8" i="9"/>
  <c r="J8" i="9"/>
  <c r="K8" i="9"/>
  <c r="L8" i="9"/>
  <c r="M8" i="9"/>
  <c r="E14" i="9"/>
  <c r="F14" i="9"/>
  <c r="G14" i="9"/>
  <c r="H14" i="9"/>
  <c r="I14" i="9"/>
  <c r="J14" i="9"/>
  <c r="K14" i="9"/>
  <c r="L14" i="9"/>
  <c r="M14" i="9"/>
  <c r="E26" i="9"/>
  <c r="F26" i="9"/>
  <c r="G26" i="9"/>
  <c r="H26" i="9"/>
  <c r="I26" i="9"/>
  <c r="J26" i="9"/>
  <c r="K26" i="9"/>
  <c r="L26" i="9"/>
  <c r="M26" i="9"/>
  <c r="E24" i="9"/>
  <c r="F24" i="9"/>
  <c r="G24" i="9"/>
  <c r="H24" i="9"/>
  <c r="I24" i="9"/>
  <c r="J24" i="9"/>
  <c r="K24" i="9"/>
  <c r="L24" i="9"/>
  <c r="M24" i="9"/>
  <c r="E21" i="9"/>
  <c r="F21" i="9"/>
  <c r="G21" i="9"/>
  <c r="H21" i="9"/>
  <c r="I21" i="9"/>
  <c r="J21" i="9"/>
  <c r="K21" i="9"/>
  <c r="L21" i="9"/>
  <c r="M21" i="9"/>
  <c r="E20" i="9"/>
  <c r="F20" i="9"/>
  <c r="F30" i="9" s="1"/>
  <c r="G20" i="9"/>
  <c r="H20" i="9"/>
  <c r="I20" i="9"/>
  <c r="J20" i="9"/>
  <c r="J30" i="9" s="1"/>
  <c r="K20" i="9"/>
  <c r="L20" i="9"/>
  <c r="K30" i="9"/>
  <c r="G30" i="9"/>
  <c r="K29" i="9"/>
  <c r="G29" i="9"/>
  <c r="W69" i="9"/>
  <c r="W89" i="9" s="1"/>
  <c r="K109" i="9" s="1"/>
  <c r="W109" i="9" s="1"/>
  <c r="S69" i="9"/>
  <c r="S89" i="9" s="1"/>
  <c r="G109" i="9" s="1"/>
  <c r="S109" i="9" s="1"/>
  <c r="K89" i="9"/>
  <c r="G89" i="9"/>
  <c r="K69" i="9"/>
  <c r="G69" i="9"/>
  <c r="K46" i="9"/>
  <c r="G46" i="9"/>
  <c r="Y84" i="9"/>
  <c r="M104" i="9" s="1"/>
  <c r="Y104" i="9" s="1"/>
  <c r="Y57" i="9"/>
  <c r="Y77" i="9" s="1"/>
  <c r="M97" i="9" s="1"/>
  <c r="Y97" i="9" s="1"/>
  <c r="Y58" i="9"/>
  <c r="Y78" i="9" s="1"/>
  <c r="M98" i="9" s="1"/>
  <c r="Y98" i="9" s="1"/>
  <c r="Y62" i="9"/>
  <c r="Y82" i="9" s="1"/>
  <c r="M102" i="9" s="1"/>
  <c r="Y102" i="9" s="1"/>
  <c r="Y63" i="9"/>
  <c r="Y83" i="9" s="1"/>
  <c r="M103" i="9" s="1"/>
  <c r="Y103" i="9" s="1"/>
  <c r="Y64" i="9"/>
  <c r="Y66" i="9"/>
  <c r="Y86" i="9" s="1"/>
  <c r="M106" i="9" s="1"/>
  <c r="Y106" i="9" s="1"/>
  <c r="M77" i="9"/>
  <c r="M78" i="9"/>
  <c r="M82" i="9"/>
  <c r="M83" i="9"/>
  <c r="M84" i="9"/>
  <c r="M86" i="9"/>
  <c r="M57" i="9"/>
  <c r="M58" i="9"/>
  <c r="M62" i="9"/>
  <c r="M63" i="9"/>
  <c r="M64" i="9"/>
  <c r="M66" i="9"/>
  <c r="M34" i="9"/>
  <c r="M35" i="9"/>
  <c r="M39" i="9"/>
  <c r="M40" i="9"/>
  <c r="M41" i="9"/>
  <c r="M43" i="9"/>
  <c r="D64" i="4"/>
  <c r="E64" i="4"/>
  <c r="F64" i="4"/>
  <c r="G64" i="4"/>
  <c r="H64" i="4"/>
  <c r="I64" i="4"/>
  <c r="J64" i="4"/>
  <c r="C64" i="4"/>
  <c r="C65" i="4"/>
  <c r="F62" i="4"/>
  <c r="G44" i="9" s="1"/>
  <c r="L59" i="4"/>
  <c r="L61" i="4"/>
  <c r="L52" i="4"/>
  <c r="L57" i="4"/>
  <c r="L58" i="4"/>
  <c r="L53" i="4"/>
  <c r="J54" i="4"/>
  <c r="J5" i="3"/>
  <c r="J70" i="3" s="1"/>
  <c r="J26" i="3"/>
  <c r="J22" i="3"/>
  <c r="I70" i="3"/>
  <c r="F48" i="3"/>
  <c r="F81" i="3"/>
  <c r="F49" i="3"/>
  <c r="F80" i="3"/>
  <c r="F63" i="3"/>
  <c r="J48" i="3"/>
  <c r="J81" i="3" s="1"/>
  <c r="J49" i="3"/>
  <c r="J63" i="3"/>
  <c r="J80" i="3" s="1"/>
  <c r="I80" i="3"/>
  <c r="L77" i="3"/>
  <c r="K77" i="3"/>
  <c r="L75" i="3"/>
  <c r="K73" i="3"/>
  <c r="L73" i="3"/>
  <c r="L55" i="3"/>
  <c r="L74" i="3"/>
  <c r="L68" i="3"/>
  <c r="L69" i="3"/>
  <c r="L60" i="3"/>
  <c r="K31" i="3"/>
  <c r="L33" i="3"/>
  <c r="K33" i="3"/>
  <c r="L21" i="3"/>
  <c r="L20" i="3"/>
  <c r="K20" i="3"/>
  <c r="L25" i="3"/>
  <c r="L6" i="3"/>
  <c r="K6" i="3"/>
  <c r="H181" i="1"/>
  <c r="G181" i="1"/>
  <c r="D181" i="1"/>
  <c r="C181" i="1"/>
  <c r="C180" i="1"/>
  <c r="I178" i="1"/>
  <c r="H178" i="1"/>
  <c r="E178" i="1"/>
  <c r="J177" i="1"/>
  <c r="I177" i="1"/>
  <c r="G177" i="1"/>
  <c r="E177" i="1"/>
  <c r="F177" i="1" s="1"/>
  <c r="G176" i="1"/>
  <c r="E175" i="1"/>
  <c r="E174" i="1"/>
  <c r="K173" i="1"/>
  <c r="J173" i="1"/>
  <c r="I173" i="1"/>
  <c r="H173" i="1"/>
  <c r="G173" i="1"/>
  <c r="F173" i="1"/>
  <c r="E173" i="1"/>
  <c r="D173" i="1"/>
  <c r="C173" i="1"/>
  <c r="H172" i="1"/>
  <c r="K171" i="1"/>
  <c r="J171" i="1"/>
  <c r="I171" i="1"/>
  <c r="H171" i="1"/>
  <c r="G171" i="1"/>
  <c r="F171" i="1"/>
  <c r="E171" i="1"/>
  <c r="D171" i="1"/>
  <c r="C171" i="1"/>
  <c r="L170" i="1"/>
  <c r="K170" i="1"/>
  <c r="J170" i="1"/>
  <c r="I170" i="1"/>
  <c r="H170" i="1"/>
  <c r="G170" i="1"/>
  <c r="F170" i="1"/>
  <c r="E170" i="1"/>
  <c r="D170" i="1"/>
  <c r="C170" i="1"/>
  <c r="F169" i="1"/>
  <c r="J168" i="1"/>
  <c r="I168" i="1"/>
  <c r="H168" i="1"/>
  <c r="G168" i="1"/>
  <c r="F168" i="1"/>
  <c r="E168" i="1"/>
  <c r="D168" i="1"/>
  <c r="C168" i="1"/>
  <c r="I167" i="1"/>
  <c r="H167" i="1"/>
  <c r="G167" i="1"/>
  <c r="E167" i="1"/>
  <c r="D167" i="1"/>
  <c r="C167" i="1"/>
  <c r="J166" i="1"/>
  <c r="D166" i="1"/>
  <c r="F165" i="1"/>
  <c r="K164" i="1"/>
  <c r="H164" i="1"/>
  <c r="D164" i="1"/>
  <c r="C164" i="1"/>
  <c r="L159" i="1"/>
  <c r="K159" i="1"/>
  <c r="K169" i="1" s="1"/>
  <c r="J159" i="1"/>
  <c r="J169" i="1" s="1"/>
  <c r="I159" i="1"/>
  <c r="I169" i="1" s="1"/>
  <c r="H159" i="1"/>
  <c r="H169" i="1" s="1"/>
  <c r="G159" i="1"/>
  <c r="G169" i="1" s="1"/>
  <c r="F159" i="1"/>
  <c r="E159" i="1"/>
  <c r="E169" i="1" s="1"/>
  <c r="D159" i="1"/>
  <c r="D169" i="1" s="1"/>
  <c r="C159" i="1"/>
  <c r="C169" i="1" s="1"/>
  <c r="L158" i="1"/>
  <c r="K157" i="1"/>
  <c r="J157" i="1"/>
  <c r="J172" i="1" s="1"/>
  <c r="I157" i="1"/>
  <c r="I172" i="1" s="1"/>
  <c r="H157" i="1"/>
  <c r="G157" i="1"/>
  <c r="G172" i="1" s="1"/>
  <c r="F157" i="1"/>
  <c r="F172" i="1" s="1"/>
  <c r="E157" i="1"/>
  <c r="E172" i="1" s="1"/>
  <c r="D157" i="1"/>
  <c r="D172" i="1" s="1"/>
  <c r="C157" i="1"/>
  <c r="C172" i="1" s="1"/>
  <c r="J156" i="1"/>
  <c r="J174" i="1" s="1"/>
  <c r="K67" i="9" s="1"/>
  <c r="I156" i="1"/>
  <c r="I174" i="1" s="1"/>
  <c r="H156" i="1"/>
  <c r="H174" i="1" s="1"/>
  <c r="G156" i="1"/>
  <c r="G174" i="1" s="1"/>
  <c r="F156" i="1"/>
  <c r="F174" i="1" s="1"/>
  <c r="G67" i="9" s="1"/>
  <c r="E156" i="1"/>
  <c r="D156" i="1"/>
  <c r="D174" i="1" s="1"/>
  <c r="C156" i="1"/>
  <c r="C174" i="1" s="1"/>
  <c r="H155" i="1"/>
  <c r="H180" i="1" s="1"/>
  <c r="G155" i="1"/>
  <c r="D155" i="1"/>
  <c r="D180" i="1" s="1"/>
  <c r="C155" i="1"/>
  <c r="J154" i="1"/>
  <c r="I154" i="1"/>
  <c r="I176" i="1" s="1"/>
  <c r="H154" i="1"/>
  <c r="H176" i="1" s="1"/>
  <c r="G154" i="1"/>
  <c r="F154" i="1"/>
  <c r="E154" i="1"/>
  <c r="E176" i="1" s="1"/>
  <c r="D154" i="1"/>
  <c r="D176" i="1" s="1"/>
  <c r="C154" i="1"/>
  <c r="C176" i="1" s="1"/>
  <c r="I153" i="1"/>
  <c r="I179" i="1" s="1"/>
  <c r="H153" i="1"/>
  <c r="H179" i="1" s="1"/>
  <c r="G153" i="1"/>
  <c r="G179" i="1" s="1"/>
  <c r="E153" i="1"/>
  <c r="E179" i="1" s="1"/>
  <c r="D153" i="1"/>
  <c r="D179" i="1" s="1"/>
  <c r="C153" i="1"/>
  <c r="C179" i="1" s="1"/>
  <c r="L148" i="1"/>
  <c r="J141" i="1"/>
  <c r="J176" i="1" s="1"/>
  <c r="F141" i="1"/>
  <c r="F176" i="1" s="1"/>
  <c r="L131" i="1"/>
  <c r="L173" i="1" s="1"/>
  <c r="L127" i="1"/>
  <c r="L171" i="1" s="1"/>
  <c r="L120" i="1"/>
  <c r="H117" i="1"/>
  <c r="G117" i="1"/>
  <c r="G178" i="1" s="1"/>
  <c r="D117" i="1"/>
  <c r="D178" i="1" s="1"/>
  <c r="C117" i="1"/>
  <c r="C178" i="1" s="1"/>
  <c r="H113" i="1"/>
  <c r="H177" i="1" s="1"/>
  <c r="G113" i="1"/>
  <c r="D113" i="1"/>
  <c r="D177" i="1" s="1"/>
  <c r="C113" i="1"/>
  <c r="C177" i="1" s="1"/>
  <c r="G106" i="1"/>
  <c r="G180" i="1" s="1"/>
  <c r="C106" i="1"/>
  <c r="L100" i="1"/>
  <c r="L90" i="1"/>
  <c r="I85" i="1"/>
  <c r="I175" i="1" s="1"/>
  <c r="H85" i="1"/>
  <c r="H175" i="1" s="1"/>
  <c r="G85" i="1"/>
  <c r="G175" i="1" s="1"/>
  <c r="E85" i="1"/>
  <c r="D85" i="1"/>
  <c r="D175" i="1" s="1"/>
  <c r="C85" i="1"/>
  <c r="C175" i="1" s="1"/>
  <c r="L71" i="1"/>
  <c r="L169" i="1" s="1"/>
  <c r="K69" i="1"/>
  <c r="K172" i="1" s="1"/>
  <c r="I64" i="1"/>
  <c r="I166" i="1" s="1"/>
  <c r="H64" i="1"/>
  <c r="H166" i="1" s="1"/>
  <c r="G64" i="1"/>
  <c r="G166" i="1" s="1"/>
  <c r="E64" i="1"/>
  <c r="E166" i="1" s="1"/>
  <c r="D64" i="1"/>
  <c r="C64" i="1"/>
  <c r="C166" i="1" s="1"/>
  <c r="L63" i="1"/>
  <c r="K63" i="1"/>
  <c r="J63" i="1"/>
  <c r="I63" i="1"/>
  <c r="H63" i="1"/>
  <c r="G63" i="1"/>
  <c r="G165" i="1" s="1"/>
  <c r="F63" i="1"/>
  <c r="E63" i="1"/>
  <c r="D63" i="1"/>
  <c r="C63" i="1"/>
  <c r="C165" i="1" s="1"/>
  <c r="L62" i="1"/>
  <c r="K62" i="1"/>
  <c r="J62" i="1"/>
  <c r="J164" i="1" s="1"/>
  <c r="I62" i="1"/>
  <c r="I164" i="1" s="1"/>
  <c r="H62" i="1"/>
  <c r="G62" i="1"/>
  <c r="G164" i="1" s="1"/>
  <c r="F62" i="1"/>
  <c r="F164" i="1" s="1"/>
  <c r="E62" i="1"/>
  <c r="E164" i="1" s="1"/>
  <c r="D62" i="1"/>
  <c r="C62" i="1"/>
  <c r="L58" i="1"/>
  <c r="L56" i="1"/>
  <c r="L53" i="1"/>
  <c r="K53" i="1"/>
  <c r="J43" i="1"/>
  <c r="J165" i="1" s="1"/>
  <c r="I43" i="1"/>
  <c r="F43" i="1"/>
  <c r="E43" i="1"/>
  <c r="L36" i="1"/>
  <c r="L164" i="1" s="1"/>
  <c r="L34" i="1"/>
  <c r="L165" i="1" s="1"/>
  <c r="K34" i="1"/>
  <c r="K165" i="1" s="1"/>
  <c r="K168" i="1" s="1"/>
  <c r="J34" i="1"/>
  <c r="I34" i="1"/>
  <c r="I165" i="1" s="1"/>
  <c r="H34" i="1"/>
  <c r="H165" i="1" s="1"/>
  <c r="F34" i="1"/>
  <c r="E34" i="1"/>
  <c r="E165" i="1" s="1"/>
  <c r="D34" i="1"/>
  <c r="D165" i="1" s="1"/>
  <c r="L29" i="1"/>
  <c r="L28" i="1"/>
  <c r="L24" i="1"/>
  <c r="L23" i="1"/>
  <c r="L16" i="1"/>
  <c r="J62" i="4"/>
  <c r="K44" i="9" s="1"/>
  <c r="J32" i="3"/>
  <c r="F32" i="3"/>
  <c r="J45" i="3"/>
  <c r="F45" i="3"/>
  <c r="W67" i="9" l="1"/>
  <c r="S67" i="9"/>
  <c r="AC55" i="9" l="1"/>
  <c r="H68" i="4" l="1"/>
  <c r="G68" i="4"/>
  <c r="D68" i="4"/>
  <c r="C68" i="4"/>
  <c r="C63" i="4"/>
  <c r="I62" i="4"/>
  <c r="H62" i="4"/>
  <c r="G62" i="4"/>
  <c r="D62" i="4"/>
  <c r="E62" i="4"/>
  <c r="C62" i="4"/>
  <c r="D60" i="4"/>
  <c r="D67" i="4" s="1"/>
  <c r="E60" i="4"/>
  <c r="E66" i="4" s="1"/>
  <c r="F60" i="4"/>
  <c r="G60" i="4"/>
  <c r="G66" i="4" s="1"/>
  <c r="H60" i="4"/>
  <c r="H66" i="4" s="1"/>
  <c r="I60" i="4"/>
  <c r="I67" i="4" s="1"/>
  <c r="J60" i="4"/>
  <c r="C60" i="4"/>
  <c r="C66" i="4" s="1"/>
  <c r="D57" i="4"/>
  <c r="E57" i="4"/>
  <c r="F57" i="4"/>
  <c r="G57" i="4"/>
  <c r="H57" i="4"/>
  <c r="I57" i="4"/>
  <c r="J57" i="4"/>
  <c r="K57" i="4"/>
  <c r="D58" i="4"/>
  <c r="E58" i="4"/>
  <c r="F58" i="4"/>
  <c r="G58" i="4"/>
  <c r="H58" i="4"/>
  <c r="I58" i="4"/>
  <c r="J58" i="4"/>
  <c r="K58" i="4"/>
  <c r="C58" i="4"/>
  <c r="C57" i="4"/>
  <c r="I54" i="4"/>
  <c r="H54" i="4"/>
  <c r="G54" i="4"/>
  <c r="D54" i="4"/>
  <c r="E54" i="4"/>
  <c r="C54" i="4"/>
  <c r="D53" i="4"/>
  <c r="E53" i="4"/>
  <c r="F53" i="4"/>
  <c r="G53" i="4"/>
  <c r="H53" i="4"/>
  <c r="I53" i="4"/>
  <c r="J53" i="4"/>
  <c r="K53" i="4"/>
  <c r="C53" i="4"/>
  <c r="D52" i="4"/>
  <c r="E52" i="4"/>
  <c r="F52" i="4"/>
  <c r="G52" i="4"/>
  <c r="H52" i="4"/>
  <c r="I52" i="4"/>
  <c r="J52" i="4"/>
  <c r="K52" i="4"/>
  <c r="C52" i="4"/>
  <c r="C67" i="4" l="1"/>
  <c r="E67" i="4"/>
  <c r="I65" i="4"/>
  <c r="I66" i="4"/>
  <c r="E65" i="4"/>
  <c r="G67" i="4"/>
  <c r="D66" i="4"/>
  <c r="D65" i="4"/>
  <c r="H67" i="4"/>
  <c r="H65" i="4"/>
  <c r="G65" i="4"/>
  <c r="F6" i="3"/>
  <c r="C6" i="3"/>
  <c r="D6" i="3"/>
  <c r="E6" i="3"/>
  <c r="G6" i="3"/>
  <c r="H6" i="3"/>
  <c r="I6" i="3"/>
  <c r="I69" i="3" s="1"/>
  <c r="J6" i="3"/>
  <c r="D33" i="3"/>
  <c r="E33" i="3"/>
  <c r="F33" i="3"/>
  <c r="G33" i="3"/>
  <c r="H33" i="3"/>
  <c r="I33" i="3"/>
  <c r="J33" i="3"/>
  <c r="J73" i="3" s="1"/>
  <c r="C33" i="3"/>
  <c r="C26" i="3"/>
  <c r="I32" i="3"/>
  <c r="I78" i="3" s="1"/>
  <c r="H32" i="3"/>
  <c r="G32" i="3"/>
  <c r="J31" i="3"/>
  <c r="I31" i="3"/>
  <c r="H31" i="3"/>
  <c r="H76" i="3" s="1"/>
  <c r="H79" i="3" s="1"/>
  <c r="G31" i="3"/>
  <c r="G76" i="3" s="1"/>
  <c r="G79" i="3" s="1"/>
  <c r="E32" i="3"/>
  <c r="E78" i="3" s="1"/>
  <c r="D32" i="3"/>
  <c r="C32" i="3"/>
  <c r="F31" i="3"/>
  <c r="E31" i="3"/>
  <c r="D31" i="3"/>
  <c r="C31" i="3"/>
  <c r="G64" i="3"/>
  <c r="H64" i="3"/>
  <c r="G62" i="3"/>
  <c r="H62" i="3"/>
  <c r="I62" i="3"/>
  <c r="G63" i="3"/>
  <c r="H63" i="3"/>
  <c r="I63" i="3"/>
  <c r="C64" i="3"/>
  <c r="C84" i="3" s="1"/>
  <c r="D64" i="3"/>
  <c r="C62" i="3"/>
  <c r="D62" i="3"/>
  <c r="E62" i="3"/>
  <c r="C63" i="3"/>
  <c r="C80" i="3" s="1"/>
  <c r="D63" i="3"/>
  <c r="E63" i="3"/>
  <c r="C61" i="3"/>
  <c r="C78" i="3" s="1"/>
  <c r="D61" i="3"/>
  <c r="E61" i="3"/>
  <c r="F61" i="3"/>
  <c r="F78" i="3" s="1"/>
  <c r="G87" i="9" s="1"/>
  <c r="S87" i="9" s="1"/>
  <c r="G107" i="9" s="1"/>
  <c r="S107" i="9" s="1"/>
  <c r="G23" i="9" s="1"/>
  <c r="G61" i="3"/>
  <c r="H61" i="3"/>
  <c r="I61" i="3"/>
  <c r="J61" i="3"/>
  <c r="J78" i="3" s="1"/>
  <c r="K87" i="9" s="1"/>
  <c r="W87" i="9" s="1"/>
  <c r="K107" i="9" s="1"/>
  <c r="W107" i="9" s="1"/>
  <c r="K23" i="9" s="1"/>
  <c r="D60" i="3"/>
  <c r="D73" i="3" s="1"/>
  <c r="E60" i="3"/>
  <c r="F60" i="3"/>
  <c r="G60" i="3"/>
  <c r="H60" i="3"/>
  <c r="I60" i="3"/>
  <c r="J60" i="3"/>
  <c r="K60" i="3"/>
  <c r="C60" i="3"/>
  <c r="I26" i="3"/>
  <c r="H26" i="3"/>
  <c r="G26" i="3"/>
  <c r="D26" i="3"/>
  <c r="E26" i="3"/>
  <c r="C25" i="3"/>
  <c r="D25" i="3"/>
  <c r="E25" i="3"/>
  <c r="F25" i="3"/>
  <c r="G25" i="3"/>
  <c r="H25" i="3"/>
  <c r="I25" i="3"/>
  <c r="J25" i="3"/>
  <c r="K25" i="3"/>
  <c r="C22" i="3"/>
  <c r="H57" i="3"/>
  <c r="G57" i="3"/>
  <c r="H56" i="3"/>
  <c r="G56" i="3"/>
  <c r="J55" i="3"/>
  <c r="I55" i="3"/>
  <c r="H55" i="3"/>
  <c r="G55" i="3"/>
  <c r="G54" i="3"/>
  <c r="I53" i="3"/>
  <c r="H53" i="3"/>
  <c r="G53" i="3"/>
  <c r="H52" i="3"/>
  <c r="G52" i="3"/>
  <c r="H51" i="3"/>
  <c r="J50" i="3"/>
  <c r="I50" i="3"/>
  <c r="H50" i="3"/>
  <c r="G50" i="3"/>
  <c r="I49" i="3"/>
  <c r="H49" i="3"/>
  <c r="I48" i="3"/>
  <c r="H48" i="3"/>
  <c r="H47" i="3"/>
  <c r="G47" i="3"/>
  <c r="I46" i="3"/>
  <c r="H46" i="3"/>
  <c r="I45" i="3"/>
  <c r="H45" i="3"/>
  <c r="G45" i="3"/>
  <c r="K55" i="3"/>
  <c r="K50" i="3"/>
  <c r="D57" i="3"/>
  <c r="C57" i="3"/>
  <c r="C85" i="3" s="1"/>
  <c r="D56" i="3"/>
  <c r="C56" i="3"/>
  <c r="C81" i="3" s="1"/>
  <c r="F55" i="3"/>
  <c r="F73" i="3" s="1"/>
  <c r="E55" i="3"/>
  <c r="E73" i="3" s="1"/>
  <c r="D55" i="3"/>
  <c r="C55" i="3"/>
  <c r="C54" i="3"/>
  <c r="C82" i="3" s="1"/>
  <c r="E53" i="3"/>
  <c r="D53" i="3"/>
  <c r="C53" i="3"/>
  <c r="D52" i="3"/>
  <c r="C52" i="3"/>
  <c r="D51" i="3"/>
  <c r="D74" i="3" s="1"/>
  <c r="F50" i="3"/>
  <c r="F76" i="3" s="1"/>
  <c r="E50" i="3"/>
  <c r="D50" i="3"/>
  <c r="C50" i="3"/>
  <c r="E49" i="3"/>
  <c r="D49" i="3"/>
  <c r="E48" i="3"/>
  <c r="D48" i="3"/>
  <c r="D47" i="3"/>
  <c r="C47" i="3"/>
  <c r="E46" i="3"/>
  <c r="D46" i="3"/>
  <c r="E45" i="3"/>
  <c r="D45" i="3"/>
  <c r="C45" i="3"/>
  <c r="I42" i="3"/>
  <c r="E42" i="3"/>
  <c r="I39" i="3"/>
  <c r="H39" i="3"/>
  <c r="G39" i="3"/>
  <c r="E39" i="3"/>
  <c r="E14" i="3"/>
  <c r="F14" i="3"/>
  <c r="F69" i="3" s="1"/>
  <c r="F72" i="3" s="1"/>
  <c r="I14" i="3"/>
  <c r="J14" i="3"/>
  <c r="K14" i="3"/>
  <c r="C39" i="3"/>
  <c r="D39" i="3"/>
  <c r="I22" i="3"/>
  <c r="H22" i="3"/>
  <c r="G22" i="3"/>
  <c r="E22" i="3"/>
  <c r="D22" i="3"/>
  <c r="K21" i="3"/>
  <c r="J21" i="3"/>
  <c r="I21" i="3"/>
  <c r="H21" i="3"/>
  <c r="G21" i="3"/>
  <c r="F21" i="3"/>
  <c r="E21" i="3"/>
  <c r="D21" i="3"/>
  <c r="C21" i="3"/>
  <c r="C69" i="3" s="1"/>
  <c r="J20" i="3"/>
  <c r="I20" i="3"/>
  <c r="H20" i="3"/>
  <c r="G20" i="3"/>
  <c r="F20" i="3"/>
  <c r="E20" i="3"/>
  <c r="D20" i="3"/>
  <c r="C20" i="3"/>
  <c r="C68" i="3" s="1"/>
  <c r="K17" i="3"/>
  <c r="J17" i="3"/>
  <c r="F17" i="3"/>
  <c r="G13" i="3"/>
  <c r="C13" i="3"/>
  <c r="D78" i="3" l="1"/>
  <c r="K76" i="3"/>
  <c r="H73" i="3"/>
  <c r="G73" i="3"/>
  <c r="D76" i="3"/>
  <c r="I76" i="3"/>
  <c r="I79" i="3" s="1"/>
  <c r="C83" i="3"/>
  <c r="E76" i="3"/>
  <c r="E79" i="3" s="1"/>
  <c r="J76" i="3"/>
  <c r="D69" i="3"/>
  <c r="C76" i="3"/>
  <c r="C79" i="3" s="1"/>
  <c r="G78" i="3"/>
  <c r="J69" i="3"/>
  <c r="J72" i="3" s="1"/>
  <c r="H78" i="3"/>
  <c r="K74" i="3"/>
  <c r="C75" i="3"/>
  <c r="H69" i="3"/>
  <c r="G69" i="3"/>
  <c r="C73" i="3"/>
  <c r="E69" i="3"/>
  <c r="K69" i="3"/>
  <c r="K72" i="3" s="1"/>
  <c r="I73" i="3"/>
  <c r="I5" i="3"/>
  <c r="I72" i="3" s="1"/>
  <c r="H5" i="3"/>
  <c r="H70" i="3" s="1"/>
  <c r="G5" i="3"/>
  <c r="G70" i="3" s="1"/>
  <c r="E5" i="3"/>
  <c r="E70" i="3" s="1"/>
  <c r="D5" i="3"/>
  <c r="D70" i="3" s="1"/>
  <c r="D72" i="3" s="1"/>
  <c r="C5" i="3"/>
  <c r="C70" i="3" s="1"/>
  <c r="C71" i="3" s="1"/>
  <c r="H72" i="3" l="1"/>
  <c r="G72" i="3"/>
  <c r="C72" i="3"/>
  <c r="E72" i="3"/>
  <c r="C56" i="4"/>
  <c r="D94" i="9" l="1"/>
  <c r="L65" i="9"/>
  <c r="D74" i="9"/>
  <c r="D38" i="9"/>
  <c r="E44" i="9"/>
  <c r="G84" i="3"/>
  <c r="H93" i="9" s="1"/>
  <c r="H84" i="3"/>
  <c r="I93" i="9" s="1"/>
  <c r="D93" i="9"/>
  <c r="D84" i="3"/>
  <c r="E93" i="9" s="1"/>
  <c r="D89" i="9"/>
  <c r="D80" i="3"/>
  <c r="E89" i="9" s="1"/>
  <c r="E80" i="3"/>
  <c r="F89" i="9" s="1"/>
  <c r="G80" i="3"/>
  <c r="H89" i="9" s="1"/>
  <c r="H80" i="3"/>
  <c r="I89" i="9" s="1"/>
  <c r="J89" i="9"/>
  <c r="E60" i="9"/>
  <c r="F60" i="9"/>
  <c r="H60" i="9"/>
  <c r="I60" i="9"/>
  <c r="J60" i="9"/>
  <c r="E61" i="9"/>
  <c r="F61" i="9"/>
  <c r="G61" i="9"/>
  <c r="H61" i="9"/>
  <c r="I61" i="9"/>
  <c r="J61" i="9"/>
  <c r="K61" i="9"/>
  <c r="E63" i="9"/>
  <c r="F63" i="9"/>
  <c r="G63" i="9"/>
  <c r="H63" i="9"/>
  <c r="I63" i="9"/>
  <c r="J63" i="9"/>
  <c r="K63" i="9"/>
  <c r="L63" i="9"/>
  <c r="E64" i="9"/>
  <c r="F64" i="9"/>
  <c r="G64" i="9"/>
  <c r="H64" i="9"/>
  <c r="I64" i="9"/>
  <c r="J64" i="9"/>
  <c r="K64" i="9"/>
  <c r="L64" i="9"/>
  <c r="E66" i="9"/>
  <c r="F66" i="9"/>
  <c r="G66" i="9"/>
  <c r="H66" i="9"/>
  <c r="I66" i="9"/>
  <c r="J66" i="9"/>
  <c r="K66" i="9"/>
  <c r="L66" i="9"/>
  <c r="J69" i="9"/>
  <c r="F71" i="9"/>
  <c r="J71" i="9"/>
  <c r="E74" i="9"/>
  <c r="H74" i="9"/>
  <c r="I74" i="9"/>
  <c r="D66" i="9"/>
  <c r="L62" i="9"/>
  <c r="K62" i="9"/>
  <c r="J62" i="9"/>
  <c r="I62" i="9"/>
  <c r="H62" i="9"/>
  <c r="G62" i="9"/>
  <c r="F62" i="9"/>
  <c r="E62" i="9"/>
  <c r="D62" i="9"/>
  <c r="K65" i="9"/>
  <c r="J65" i="9"/>
  <c r="I65" i="9"/>
  <c r="H65" i="9"/>
  <c r="G65" i="9"/>
  <c r="F65" i="9"/>
  <c r="E65" i="9"/>
  <c r="D65" i="9"/>
  <c r="J67" i="9"/>
  <c r="I67" i="9"/>
  <c r="H67" i="9"/>
  <c r="F67" i="9"/>
  <c r="E67" i="9"/>
  <c r="D67" i="9"/>
  <c r="I73" i="9"/>
  <c r="E73" i="9"/>
  <c r="I69" i="9"/>
  <c r="H69" i="9"/>
  <c r="F69" i="9"/>
  <c r="E69" i="9"/>
  <c r="E72" i="9"/>
  <c r="F72" i="9"/>
  <c r="H72" i="9"/>
  <c r="I72" i="9"/>
  <c r="J72" i="9"/>
  <c r="D59" i="9"/>
  <c r="E59" i="9"/>
  <c r="F59" i="9"/>
  <c r="H59" i="9"/>
  <c r="I59" i="9"/>
  <c r="J59" i="9"/>
  <c r="D58" i="9"/>
  <c r="H58" i="9"/>
  <c r="H57" i="9"/>
  <c r="I57" i="9"/>
  <c r="J57" i="9"/>
  <c r="K57" i="9"/>
  <c r="L57" i="9"/>
  <c r="E57" i="9"/>
  <c r="F57" i="9"/>
  <c r="G57" i="9"/>
  <c r="D57" i="9"/>
  <c r="J36" i="9"/>
  <c r="I36" i="9"/>
  <c r="H36" i="9"/>
  <c r="D55" i="4"/>
  <c r="E37" i="9" s="1"/>
  <c r="F36" i="9"/>
  <c r="C55" i="4"/>
  <c r="D37" i="9" s="1"/>
  <c r="E35" i="9"/>
  <c r="F35" i="9"/>
  <c r="G34" i="9"/>
  <c r="H34" i="9"/>
  <c r="I35" i="9"/>
  <c r="J35" i="9"/>
  <c r="K35" i="9"/>
  <c r="L35" i="9"/>
  <c r="D35" i="9"/>
  <c r="D72" i="9"/>
  <c r="D69" i="9"/>
  <c r="D63" i="9"/>
  <c r="F88" i="9"/>
  <c r="H69" i="4"/>
  <c r="I51" i="9" s="1"/>
  <c r="H50" i="9"/>
  <c r="E50" i="9"/>
  <c r="D50" i="9"/>
  <c r="J49" i="9"/>
  <c r="I48" i="9"/>
  <c r="H48" i="9"/>
  <c r="E48" i="9"/>
  <c r="E47" i="9"/>
  <c r="F48" i="9"/>
  <c r="D49" i="9"/>
  <c r="J44" i="9"/>
  <c r="I44" i="9"/>
  <c r="H44" i="9"/>
  <c r="F44" i="9"/>
  <c r="D44" i="9"/>
  <c r="E59" i="4"/>
  <c r="F41" i="9" s="1"/>
  <c r="D42" i="9"/>
  <c r="D56" i="4"/>
  <c r="E38" i="9" s="1"/>
  <c r="E56" i="4"/>
  <c r="F38" i="9" s="1"/>
  <c r="F56" i="4"/>
  <c r="G38" i="9" s="1"/>
  <c r="G56" i="4"/>
  <c r="H38" i="9" s="1"/>
  <c r="H56" i="4"/>
  <c r="I38" i="9" s="1"/>
  <c r="I56" i="4"/>
  <c r="J38" i="9" s="1"/>
  <c r="J56" i="4"/>
  <c r="K38" i="9" s="1"/>
  <c r="K56" i="4"/>
  <c r="L38" i="9" s="1"/>
  <c r="D79" i="9"/>
  <c r="G78" i="9"/>
  <c r="F78" i="9"/>
  <c r="E78" i="9"/>
  <c r="D78" i="9"/>
  <c r="K68" i="3"/>
  <c r="L77" i="9" s="1"/>
  <c r="J68" i="3"/>
  <c r="K77" i="9" s="1"/>
  <c r="I68" i="3"/>
  <c r="J77" i="9" s="1"/>
  <c r="H68" i="3"/>
  <c r="I77" i="9" s="1"/>
  <c r="G68" i="3"/>
  <c r="H77" i="9" s="1"/>
  <c r="F68" i="3"/>
  <c r="G77" i="9" s="1"/>
  <c r="E68" i="3"/>
  <c r="F77" i="9" s="1"/>
  <c r="D68" i="3"/>
  <c r="E77" i="9" s="1"/>
  <c r="D77" i="9"/>
  <c r="H85" i="3"/>
  <c r="I94" i="9" s="1"/>
  <c r="G85" i="3"/>
  <c r="H94" i="9" s="1"/>
  <c r="D85" i="3"/>
  <c r="E94" i="9" s="1"/>
  <c r="I81" i="3"/>
  <c r="J90" i="9" s="1"/>
  <c r="H81" i="3"/>
  <c r="I90" i="9" s="1"/>
  <c r="G81" i="3"/>
  <c r="H90" i="9" s="1"/>
  <c r="D81" i="3"/>
  <c r="E90" i="9" s="1"/>
  <c r="E81" i="3"/>
  <c r="F90" i="9" s="1"/>
  <c r="D90" i="9"/>
  <c r="E83" i="9"/>
  <c r="J88" i="9"/>
  <c r="H74" i="3"/>
  <c r="I83" i="9" s="1"/>
  <c r="D61" i="9"/>
  <c r="D64" i="9"/>
  <c r="D60" i="9"/>
  <c r="H73" i="9"/>
  <c r="I82" i="3"/>
  <c r="J91" i="9" s="1"/>
  <c r="H82" i="3"/>
  <c r="I91" i="9" s="1"/>
  <c r="G82" i="3"/>
  <c r="H91" i="9" s="1"/>
  <c r="E82" i="3"/>
  <c r="F91" i="9" s="1"/>
  <c r="D82" i="3"/>
  <c r="E91" i="9" s="1"/>
  <c r="D91" i="9"/>
  <c r="I71" i="9"/>
  <c r="H71" i="9"/>
  <c r="E71" i="9"/>
  <c r="D71" i="9"/>
  <c r="L83" i="9"/>
  <c r="H39" i="9"/>
  <c r="I63" i="4"/>
  <c r="J45" i="9" s="1"/>
  <c r="H63" i="4"/>
  <c r="I45" i="9" s="1"/>
  <c r="G63" i="4"/>
  <c r="H45" i="9" s="1"/>
  <c r="E63" i="4"/>
  <c r="F45" i="9" s="1"/>
  <c r="D63" i="4"/>
  <c r="E45" i="9" s="1"/>
  <c r="D45" i="9"/>
  <c r="K78" i="9"/>
  <c r="H78" i="9"/>
  <c r="L81" i="9"/>
  <c r="K81" i="9"/>
  <c r="J81" i="9"/>
  <c r="I81" i="9"/>
  <c r="H81" i="9"/>
  <c r="G81" i="9"/>
  <c r="F81" i="9"/>
  <c r="E81" i="9"/>
  <c r="D81" i="9"/>
  <c r="I82" i="9"/>
  <c r="I79" i="9"/>
  <c r="E70" i="9"/>
  <c r="D70" i="9"/>
  <c r="H70" i="9"/>
  <c r="I70" i="9"/>
  <c r="F58" i="9"/>
  <c r="J68" i="9"/>
  <c r="I68" i="9"/>
  <c r="H68" i="9"/>
  <c r="F68" i="9"/>
  <c r="E68" i="9"/>
  <c r="D68" i="9"/>
  <c r="F70" i="9" l="1"/>
  <c r="J70" i="9"/>
  <c r="E58" i="9"/>
  <c r="Q58" i="9" s="1"/>
  <c r="Q78" i="9" s="1"/>
  <c r="D73" i="9"/>
  <c r="P73" i="9" s="1"/>
  <c r="P93" i="9" s="1"/>
  <c r="P61" i="9"/>
  <c r="P81" i="9" s="1"/>
  <c r="D101" i="9" s="1"/>
  <c r="P101" i="9" s="1"/>
  <c r="I58" i="9"/>
  <c r="U58" i="9" s="1"/>
  <c r="J58" i="9"/>
  <c r="V58" i="9" s="1"/>
  <c r="L34" i="9"/>
  <c r="X57" i="9" s="1"/>
  <c r="X77" i="9" s="1"/>
  <c r="K34" i="9"/>
  <c r="W57" i="9" s="1"/>
  <c r="E55" i="4"/>
  <c r="F37" i="9" s="1"/>
  <c r="R60" i="9" s="1"/>
  <c r="E34" i="9"/>
  <c r="Q57" i="9" s="1"/>
  <c r="Q77" i="9" s="1"/>
  <c r="D34" i="9"/>
  <c r="D36" i="9"/>
  <c r="P59" i="9" s="1"/>
  <c r="P79" i="9" s="1"/>
  <c r="F59" i="4"/>
  <c r="G41" i="9" s="1"/>
  <c r="S64" i="9" s="1"/>
  <c r="F61" i="4"/>
  <c r="G43" i="9" s="1"/>
  <c r="S66" i="9" s="1"/>
  <c r="E49" i="9"/>
  <c r="Q72" i="9" s="1"/>
  <c r="Q92" i="9" s="1"/>
  <c r="F47" i="9"/>
  <c r="I50" i="9"/>
  <c r="U73" i="9" s="1"/>
  <c r="U93" i="9" s="1"/>
  <c r="K39" i="9"/>
  <c r="W62" i="9" s="1"/>
  <c r="K40" i="9"/>
  <c r="W63" i="9" s="1"/>
  <c r="J42" i="9"/>
  <c r="V65" i="9" s="1"/>
  <c r="I61" i="4"/>
  <c r="I59" i="4"/>
  <c r="J41" i="9" s="1"/>
  <c r="V64" i="9" s="1"/>
  <c r="L42" i="9"/>
  <c r="X65" i="9" s="1"/>
  <c r="K61" i="4"/>
  <c r="L43" i="9" s="1"/>
  <c r="X66" i="9" s="1"/>
  <c r="L41" i="9"/>
  <c r="X64" i="9" s="1"/>
  <c r="L39" i="9"/>
  <c r="X62" i="9" s="1"/>
  <c r="L40" i="9"/>
  <c r="X63" i="9" s="1"/>
  <c r="E39" i="9"/>
  <c r="Q62" i="9" s="1"/>
  <c r="E40" i="9"/>
  <c r="Q63" i="9" s="1"/>
  <c r="J40" i="9"/>
  <c r="V63" i="9" s="1"/>
  <c r="J39" i="9"/>
  <c r="V62" i="9" s="1"/>
  <c r="K42" i="9"/>
  <c r="W65" i="9" s="1"/>
  <c r="J61" i="4"/>
  <c r="K43" i="9" s="1"/>
  <c r="W66" i="9" s="1"/>
  <c r="J59" i="4"/>
  <c r="K41" i="9" s="1"/>
  <c r="W64" i="9" s="1"/>
  <c r="D59" i="4"/>
  <c r="E41" i="9" s="1"/>
  <c r="Q64" i="9" s="1"/>
  <c r="E42" i="9"/>
  <c r="Q65" i="9" s="1"/>
  <c r="D61" i="4"/>
  <c r="F40" i="9"/>
  <c r="R63" i="9" s="1"/>
  <c r="F39" i="9"/>
  <c r="R62" i="9" s="1"/>
  <c r="G61" i="4"/>
  <c r="H42" i="9"/>
  <c r="T65" i="9" s="1"/>
  <c r="G59" i="4"/>
  <c r="H41" i="9" s="1"/>
  <c r="T64" i="9" s="1"/>
  <c r="I39" i="9"/>
  <c r="U62" i="9" s="1"/>
  <c r="I40" i="9"/>
  <c r="U63" i="9" s="1"/>
  <c r="D39" i="9"/>
  <c r="P62" i="9" s="1"/>
  <c r="D40" i="9"/>
  <c r="P63" i="9" s="1"/>
  <c r="G40" i="9"/>
  <c r="S63" i="9" s="1"/>
  <c r="G39" i="9"/>
  <c r="S62" i="9" s="1"/>
  <c r="H61" i="4"/>
  <c r="I42" i="9"/>
  <c r="U65" i="9" s="1"/>
  <c r="H59" i="4"/>
  <c r="I41" i="9" s="1"/>
  <c r="U64" i="9" s="1"/>
  <c r="E61" i="4"/>
  <c r="F34" i="9"/>
  <c r="R57" i="9" s="1"/>
  <c r="R77" i="9" s="1"/>
  <c r="D47" i="9"/>
  <c r="P70" i="9" s="1"/>
  <c r="P90" i="9" s="1"/>
  <c r="J48" i="9"/>
  <c r="V71" i="9" s="1"/>
  <c r="V91" i="9" s="1"/>
  <c r="V72" i="9"/>
  <c r="R67" i="9"/>
  <c r="F42" i="9"/>
  <c r="R65" i="9" s="1"/>
  <c r="F49" i="9"/>
  <c r="R72" i="9" s="1"/>
  <c r="U71" i="9"/>
  <c r="U91" i="9" s="1"/>
  <c r="C61" i="4"/>
  <c r="D48" i="9"/>
  <c r="P71" i="9" s="1"/>
  <c r="P91" i="9" s="1"/>
  <c r="H47" i="9"/>
  <c r="T70" i="9" s="1"/>
  <c r="T90" i="9" s="1"/>
  <c r="G42" i="9"/>
  <c r="S65" i="9" s="1"/>
  <c r="H49" i="9"/>
  <c r="T72" i="9" s="1"/>
  <c r="R58" i="9"/>
  <c r="I47" i="9"/>
  <c r="U70" i="9" s="1"/>
  <c r="U90" i="9" s="1"/>
  <c r="C69" i="4"/>
  <c r="D51" i="9" s="1"/>
  <c r="P74" i="9" s="1"/>
  <c r="P94" i="9" s="1"/>
  <c r="U67" i="9"/>
  <c r="Q73" i="9"/>
  <c r="Q93" i="9" s="1"/>
  <c r="U61" i="9"/>
  <c r="I49" i="9"/>
  <c r="U72" i="9" s="1"/>
  <c r="P68" i="9"/>
  <c r="J47" i="9"/>
  <c r="V70" i="9" s="1"/>
  <c r="V90" i="9" s="1"/>
  <c r="V67" i="9"/>
  <c r="T73" i="9"/>
  <c r="T93" i="9" s="1"/>
  <c r="D69" i="4"/>
  <c r="E51" i="9" s="1"/>
  <c r="Q74" i="9" s="1"/>
  <c r="Q94" i="9" s="1"/>
  <c r="P72" i="9"/>
  <c r="P92" i="9" s="1"/>
  <c r="U74" i="9"/>
  <c r="U94" i="9" s="1"/>
  <c r="P65" i="9"/>
  <c r="C59" i="4"/>
  <c r="D41" i="9" s="1"/>
  <c r="P64" i="9" s="1"/>
  <c r="G69" i="4"/>
  <c r="H51" i="9" s="1"/>
  <c r="T74" i="9" s="1"/>
  <c r="T94" i="9" s="1"/>
  <c r="P67" i="9"/>
  <c r="R64" i="9"/>
  <c r="D83" i="3"/>
  <c r="E92" i="9" s="1"/>
  <c r="H83" i="3"/>
  <c r="I92" i="9" s="1"/>
  <c r="E83" i="3"/>
  <c r="F92" i="9" s="1"/>
  <c r="D92" i="9"/>
  <c r="G83" i="3"/>
  <c r="H92" i="9" s="1"/>
  <c r="Q67" i="9"/>
  <c r="U68" i="9"/>
  <c r="R71" i="9"/>
  <c r="R91" i="9" s="1"/>
  <c r="T68" i="9"/>
  <c r="Q71" i="9"/>
  <c r="Q91" i="9" s="1"/>
  <c r="Q68" i="9"/>
  <c r="Q70" i="9"/>
  <c r="Q90" i="9" s="1"/>
  <c r="T67" i="9"/>
  <c r="R68" i="9"/>
  <c r="R88" i="9" s="1"/>
  <c r="V68" i="9"/>
  <c r="V88" i="9" s="1"/>
  <c r="T71" i="9"/>
  <c r="T91" i="9" s="1"/>
  <c r="S61" i="9"/>
  <c r="S81" i="9" s="1"/>
  <c r="R61" i="9"/>
  <c r="W61" i="9"/>
  <c r="W81" i="9" s="1"/>
  <c r="T61" i="9"/>
  <c r="T81" i="9" s="1"/>
  <c r="Q61" i="9"/>
  <c r="Q81" i="9" s="1"/>
  <c r="V61" i="9"/>
  <c r="G35" i="9"/>
  <c r="Q60" i="9"/>
  <c r="G55" i="4"/>
  <c r="H37" i="9" s="1"/>
  <c r="T60" i="9" s="1"/>
  <c r="T57" i="9"/>
  <c r="H35" i="9"/>
  <c r="T58" i="9" s="1"/>
  <c r="T78" i="9" s="1"/>
  <c r="T59" i="9"/>
  <c r="I34" i="9"/>
  <c r="U57" i="9" s="1"/>
  <c r="U77" i="9" s="1"/>
  <c r="H55" i="4"/>
  <c r="I37" i="9" s="1"/>
  <c r="U60" i="9" s="1"/>
  <c r="S57" i="9"/>
  <c r="S77" i="9" s="1"/>
  <c r="P58" i="9"/>
  <c r="P78" i="9" s="1"/>
  <c r="P60" i="9"/>
  <c r="J34" i="9"/>
  <c r="V57" i="9" s="1"/>
  <c r="E36" i="9"/>
  <c r="Q59" i="9" s="1"/>
  <c r="Q79" i="9" s="1"/>
  <c r="I55" i="4"/>
  <c r="J37" i="9" s="1"/>
  <c r="V60" i="9" s="1"/>
  <c r="V59" i="9"/>
  <c r="R59" i="9"/>
  <c r="U59" i="9"/>
  <c r="U79" i="9" s="1"/>
  <c r="F87" i="9"/>
  <c r="J87" i="9"/>
  <c r="D75" i="3"/>
  <c r="E84" i="9" s="1"/>
  <c r="Q84" i="9" s="1"/>
  <c r="E82" i="9"/>
  <c r="L82" i="9"/>
  <c r="I87" i="9"/>
  <c r="F82" i="9"/>
  <c r="I88" i="9"/>
  <c r="I83" i="3"/>
  <c r="J92" i="9" s="1"/>
  <c r="H82" i="9"/>
  <c r="H87" i="9"/>
  <c r="K58" i="9"/>
  <c r="W58" i="9" s="1"/>
  <c r="W78" i="9" s="1"/>
  <c r="G58" i="9"/>
  <c r="T62" i="9"/>
  <c r="J82" i="9"/>
  <c r="K82" i="9"/>
  <c r="F85" i="9"/>
  <c r="L78" i="9"/>
  <c r="C74" i="3"/>
  <c r="D83" i="9" s="1"/>
  <c r="F79" i="9"/>
  <c r="D87" i="9"/>
  <c r="G82" i="9"/>
  <c r="E87" i="9"/>
  <c r="I77" i="3"/>
  <c r="J86" i="9" s="1"/>
  <c r="H85" i="9"/>
  <c r="G75" i="3"/>
  <c r="H84" i="9" s="1"/>
  <c r="G77" i="3"/>
  <c r="H86" i="9" s="1"/>
  <c r="H71" i="3"/>
  <c r="I80" i="9" s="1"/>
  <c r="I78" i="9"/>
  <c r="G85" i="9"/>
  <c r="J75" i="3"/>
  <c r="K84" i="9" s="1"/>
  <c r="H79" i="9"/>
  <c r="J78" i="9"/>
  <c r="I71" i="3"/>
  <c r="J80" i="9" s="1"/>
  <c r="L86" i="9"/>
  <c r="C77" i="3"/>
  <c r="D86" i="9" s="1"/>
  <c r="D84" i="9"/>
  <c r="D88" i="9"/>
  <c r="D85" i="9"/>
  <c r="E79" i="9"/>
  <c r="D71" i="3"/>
  <c r="E80" i="9" s="1"/>
  <c r="D80" i="9"/>
  <c r="H88" i="9"/>
  <c r="H40" i="9"/>
  <c r="T63" i="9" s="1"/>
  <c r="Q80" i="9" l="1"/>
  <c r="P87" i="9"/>
  <c r="V82" i="9"/>
  <c r="J102" i="9" s="1"/>
  <c r="V102" i="9" s="1"/>
  <c r="R70" i="9"/>
  <c r="R90" i="9" s="1"/>
  <c r="P80" i="9"/>
  <c r="T88" i="9"/>
  <c r="H108" i="9" s="1"/>
  <c r="T108" i="9" s="1"/>
  <c r="H18" i="9" s="1"/>
  <c r="U87" i="9"/>
  <c r="I107" i="9" s="1"/>
  <c r="U107" i="9" s="1"/>
  <c r="I23" i="9" s="1"/>
  <c r="R79" i="9"/>
  <c r="F99" i="9" s="1"/>
  <c r="R99" i="9" s="1"/>
  <c r="F13" i="9" s="1"/>
  <c r="U80" i="9"/>
  <c r="I100" i="9" s="1"/>
  <c r="U100" i="9" s="1"/>
  <c r="I11" i="9" s="1"/>
  <c r="Q87" i="9"/>
  <c r="E107" i="9" s="1"/>
  <c r="Q107" i="9" s="1"/>
  <c r="E23" i="9" s="1"/>
  <c r="V87" i="9"/>
  <c r="R92" i="9"/>
  <c r="T87" i="9"/>
  <c r="P88" i="9"/>
  <c r="D108" i="9" s="1"/>
  <c r="P108" i="9" s="1"/>
  <c r="D18" i="9" s="1"/>
  <c r="T92" i="9"/>
  <c r="H112" i="9" s="1"/>
  <c r="T112" i="9" s="1"/>
  <c r="H28" i="9" s="1"/>
  <c r="R87" i="9"/>
  <c r="U88" i="9"/>
  <c r="I108" i="9" s="1"/>
  <c r="U108" i="9" s="1"/>
  <c r="I18" i="9" s="1"/>
  <c r="V80" i="9"/>
  <c r="J100" i="9" s="1"/>
  <c r="V100" i="9" s="1"/>
  <c r="J11" i="9" s="1"/>
  <c r="T79" i="9"/>
  <c r="H99" i="9" s="1"/>
  <c r="T99" i="9" s="1"/>
  <c r="H13" i="9" s="1"/>
  <c r="U92" i="9"/>
  <c r="I112" i="9" s="1"/>
  <c r="U112" i="9" s="1"/>
  <c r="I28" i="9" s="1"/>
  <c r="V92" i="9"/>
  <c r="J112" i="9" s="1"/>
  <c r="V112" i="9" s="1"/>
  <c r="J28" i="9" s="1"/>
  <c r="R82" i="9"/>
  <c r="F102" i="9" s="1"/>
  <c r="R102" i="9" s="1"/>
  <c r="Q82" i="9"/>
  <c r="E102" i="9" s="1"/>
  <c r="Q102" i="9" s="1"/>
  <c r="W84" i="9"/>
  <c r="K104" i="9" s="1"/>
  <c r="W104" i="9" s="1"/>
  <c r="T84" i="9"/>
  <c r="H104" i="9" s="1"/>
  <c r="T104" i="9" s="1"/>
  <c r="X82" i="9"/>
  <c r="L102" i="9" s="1"/>
  <c r="X102" i="9" s="1"/>
  <c r="R85" i="9"/>
  <c r="W82" i="9"/>
  <c r="K102" i="9" s="1"/>
  <c r="W102" i="9" s="1"/>
  <c r="P85" i="9"/>
  <c r="D105" i="9" s="1"/>
  <c r="P105" i="9" s="1"/>
  <c r="D20" i="9" s="1"/>
  <c r="U78" i="9"/>
  <c r="I98" i="9" s="1"/>
  <c r="U98" i="9" s="1"/>
  <c r="L61" i="9"/>
  <c r="X61" i="9" s="1"/>
  <c r="X81" i="9" s="1"/>
  <c r="L101" i="9" s="1"/>
  <c r="X101" i="9" s="1"/>
  <c r="H107" i="9"/>
  <c r="T107" i="9" s="1"/>
  <c r="H23" i="9" s="1"/>
  <c r="V78" i="9"/>
  <c r="J98" i="9" s="1"/>
  <c r="V98" i="9" s="1"/>
  <c r="T85" i="9"/>
  <c r="T82" i="9"/>
  <c r="H102" i="9" s="1"/>
  <c r="T102" i="9" s="1"/>
  <c r="P84" i="9"/>
  <c r="D104" i="9" s="1"/>
  <c r="P104" i="9" s="1"/>
  <c r="D7" i="9" s="1"/>
  <c r="P83" i="9"/>
  <c r="D103" i="9" s="1"/>
  <c r="P103" i="9" s="1"/>
  <c r="D21" i="9" s="1"/>
  <c r="D113" i="9"/>
  <c r="P113" i="9" s="1"/>
  <c r="D25" i="9" s="1"/>
  <c r="H110" i="9"/>
  <c r="T110" i="9" s="1"/>
  <c r="H27" i="9" s="1"/>
  <c r="J111" i="9"/>
  <c r="V111" i="9" s="1"/>
  <c r="J19" i="9" s="1"/>
  <c r="L97" i="9"/>
  <c r="E113" i="9"/>
  <c r="Q113" i="9" s="1"/>
  <c r="E25" i="9" s="1"/>
  <c r="R81" i="9"/>
  <c r="F101" i="9" s="1"/>
  <c r="R101" i="9" s="1"/>
  <c r="K101" i="9"/>
  <c r="W101" i="9" s="1"/>
  <c r="H43" i="9"/>
  <c r="T66" i="9" s="1"/>
  <c r="T86" i="9" s="1"/>
  <c r="H106" i="9" s="1"/>
  <c r="T106" i="9" s="1"/>
  <c r="H46" i="9"/>
  <c r="T69" i="9" s="1"/>
  <c r="T89" i="9" s="1"/>
  <c r="S85" i="9"/>
  <c r="G105" i="9" s="1"/>
  <c r="S105" i="9" s="1"/>
  <c r="S82" i="9"/>
  <c r="G102" i="9" s="1"/>
  <c r="S102" i="9" s="1"/>
  <c r="L58" i="9"/>
  <c r="X58" i="9" s="1"/>
  <c r="X78" i="9" s="1"/>
  <c r="L98" i="9" s="1"/>
  <c r="X98" i="9" s="1"/>
  <c r="G101" i="9"/>
  <c r="S101" i="9" s="1"/>
  <c r="E114" i="9"/>
  <c r="Q114" i="9" s="1"/>
  <c r="I99" i="9"/>
  <c r="U99" i="9" s="1"/>
  <c r="I13" i="9" s="1"/>
  <c r="D43" i="9"/>
  <c r="P66" i="9" s="1"/>
  <c r="P86" i="9" s="1"/>
  <c r="D106" i="9" s="1"/>
  <c r="P106" i="9" s="1"/>
  <c r="D17" i="9" s="1"/>
  <c r="D46" i="9"/>
  <c r="P69" i="9" s="1"/>
  <c r="P89" i="9" s="1"/>
  <c r="F97" i="9"/>
  <c r="R97" i="9" s="1"/>
  <c r="E43" i="9"/>
  <c r="Q66" i="9" s="1"/>
  <c r="E46" i="9"/>
  <c r="Q69" i="9" s="1"/>
  <c r="Q89" i="9" s="1"/>
  <c r="J43" i="9"/>
  <c r="V66" i="9" s="1"/>
  <c r="V86" i="9" s="1"/>
  <c r="J106" i="9" s="1"/>
  <c r="V106" i="9" s="1"/>
  <c r="J17" i="9" s="1"/>
  <c r="J16" i="9" s="1"/>
  <c r="J46" i="9"/>
  <c r="V69" i="9" s="1"/>
  <c r="V89" i="9" s="1"/>
  <c r="W77" i="9"/>
  <c r="K97" i="9" s="1"/>
  <c r="W97" i="9" s="1"/>
  <c r="E98" i="9"/>
  <c r="Q98" i="9" s="1"/>
  <c r="X86" i="9"/>
  <c r="L106" i="9" s="1"/>
  <c r="X106" i="9" s="1"/>
  <c r="L17" i="9" s="1"/>
  <c r="J108" i="9"/>
  <c r="V108" i="9" s="1"/>
  <c r="J18" i="9" s="1"/>
  <c r="D114" i="9"/>
  <c r="P114" i="9" s="1"/>
  <c r="D16" i="9" s="1"/>
  <c r="F43" i="9"/>
  <c r="R66" i="9" s="1"/>
  <c r="F46" i="9"/>
  <c r="R69" i="9" s="1"/>
  <c r="R89" i="9" s="1"/>
  <c r="D99" i="9"/>
  <c r="P99" i="9" s="1"/>
  <c r="D13" i="9" s="1"/>
  <c r="I111" i="9"/>
  <c r="U111" i="9" s="1"/>
  <c r="T77" i="9"/>
  <c r="H97" i="9" s="1"/>
  <c r="T97" i="9" s="1"/>
  <c r="F110" i="9"/>
  <c r="R110" i="9" s="1"/>
  <c r="F27" i="9" s="1"/>
  <c r="D98" i="9"/>
  <c r="P98" i="9" s="1"/>
  <c r="D14" i="9" s="1"/>
  <c r="D112" i="9"/>
  <c r="P112" i="9" s="1"/>
  <c r="D28" i="9" s="1"/>
  <c r="K98" i="9"/>
  <c r="W98" i="9" s="1"/>
  <c r="V81" i="9"/>
  <c r="J101" i="9" s="1"/>
  <c r="V101" i="9" s="1"/>
  <c r="F108" i="9"/>
  <c r="R108" i="9" s="1"/>
  <c r="F18" i="9" s="1"/>
  <c r="I110" i="9"/>
  <c r="U110" i="9" s="1"/>
  <c r="I27" i="9" s="1"/>
  <c r="V77" i="9"/>
  <c r="J97" i="9" s="1"/>
  <c r="V97" i="9" s="1"/>
  <c r="J110" i="9"/>
  <c r="V110" i="9" s="1"/>
  <c r="J27" i="9" s="1"/>
  <c r="U81" i="9"/>
  <c r="I101" i="9" s="1"/>
  <c r="U101" i="9" s="1"/>
  <c r="E110" i="9"/>
  <c r="Q110" i="9" s="1"/>
  <c r="E27" i="9" s="1"/>
  <c r="H113" i="9"/>
  <c r="T113" i="9" s="1"/>
  <c r="H25" i="9" s="1"/>
  <c r="H98" i="9"/>
  <c r="T98" i="9" s="1"/>
  <c r="G97" i="9"/>
  <c r="S97" i="9" s="1"/>
  <c r="E111" i="9"/>
  <c r="Q111" i="9" s="1"/>
  <c r="E22" i="9" s="1"/>
  <c r="E100" i="9"/>
  <c r="Q100" i="9" s="1"/>
  <c r="E10" i="9" s="1"/>
  <c r="I97" i="9"/>
  <c r="U97" i="9" s="1"/>
  <c r="E101" i="9"/>
  <c r="Q101" i="9" s="1"/>
  <c r="F111" i="9"/>
  <c r="R111" i="9" s="1"/>
  <c r="F19" i="9" s="1"/>
  <c r="E97" i="9"/>
  <c r="Q97" i="9" s="1"/>
  <c r="H114" i="9"/>
  <c r="T114" i="9" s="1"/>
  <c r="X83" i="9"/>
  <c r="L103" i="9" s="1"/>
  <c r="X103" i="9" s="1"/>
  <c r="U82" i="9"/>
  <c r="I102" i="9" s="1"/>
  <c r="U102" i="9" s="1"/>
  <c r="U83" i="9"/>
  <c r="I103" i="9" s="1"/>
  <c r="U103" i="9" s="1"/>
  <c r="D111" i="9"/>
  <c r="P111" i="9" s="1"/>
  <c r="J107" i="9"/>
  <c r="V107" i="9" s="1"/>
  <c r="J23" i="9" s="1"/>
  <c r="H101" i="9"/>
  <c r="T101" i="9" s="1"/>
  <c r="I114" i="9"/>
  <c r="U114" i="9" s="1"/>
  <c r="I16" i="9" s="1"/>
  <c r="I43" i="9"/>
  <c r="U66" i="9" s="1"/>
  <c r="I46" i="9"/>
  <c r="U69" i="9" s="1"/>
  <c r="U89" i="9" s="1"/>
  <c r="I113" i="9"/>
  <c r="U113" i="9" s="1"/>
  <c r="I25" i="9" s="1"/>
  <c r="Q83" i="9"/>
  <c r="E103" i="9" s="1"/>
  <c r="Q103" i="9" s="1"/>
  <c r="R78" i="9"/>
  <c r="F98" i="9" s="1"/>
  <c r="R98" i="9" s="1"/>
  <c r="H111" i="9"/>
  <c r="T111" i="9" s="1"/>
  <c r="P57" i="9"/>
  <c r="P77" i="9" s="1"/>
  <c r="D97" i="9" s="1"/>
  <c r="P97" i="9" s="1"/>
  <c r="D8" i="9" s="1"/>
  <c r="D110" i="9"/>
  <c r="P110" i="9" s="1"/>
  <c r="D27" i="9" s="1"/>
  <c r="F107" i="9"/>
  <c r="R107" i="9" s="1"/>
  <c r="F23" i="9" s="1"/>
  <c r="E104" i="9"/>
  <c r="Q104" i="9" s="1"/>
  <c r="D107" i="9"/>
  <c r="P107" i="9" s="1"/>
  <c r="D23" i="9" s="1"/>
  <c r="F105" i="9"/>
  <c r="R105" i="9" s="1"/>
  <c r="H105" i="9"/>
  <c r="T105" i="9" s="1"/>
  <c r="F112" i="9"/>
  <c r="R112" i="9" s="1"/>
  <c r="F28" i="9" s="1"/>
  <c r="D79" i="3"/>
  <c r="E88" i="9" s="1"/>
  <c r="Q88" i="9" s="1"/>
  <c r="E112" i="9"/>
  <c r="Q112" i="9" s="1"/>
  <c r="E28" i="9" s="1"/>
  <c r="E85" i="9"/>
  <c r="J77" i="3"/>
  <c r="K86" i="9" s="1"/>
  <c r="D77" i="3"/>
  <c r="E86" i="9" s="1"/>
  <c r="D100" i="9"/>
  <c r="P100" i="9" s="1"/>
  <c r="D11" i="9" s="1"/>
  <c r="S58" i="9"/>
  <c r="E99" i="9"/>
  <c r="Q99" i="9" s="1"/>
  <c r="E13" i="9" s="1"/>
  <c r="E75" i="3"/>
  <c r="F84" i="9" s="1"/>
  <c r="I85" i="9"/>
  <c r="E74" i="3"/>
  <c r="F83" i="9" s="1"/>
  <c r="F74" i="3"/>
  <c r="G83" i="9" s="1"/>
  <c r="I75" i="3"/>
  <c r="J84" i="9" s="1"/>
  <c r="J85" i="9"/>
  <c r="G74" i="3"/>
  <c r="H83" i="9" s="1"/>
  <c r="D82" i="9"/>
  <c r="J74" i="3"/>
  <c r="K83" i="9" s="1"/>
  <c r="G71" i="3"/>
  <c r="H80" i="9" s="1"/>
  <c r="T80" i="9" s="1"/>
  <c r="H77" i="3"/>
  <c r="I86" i="9" s="1"/>
  <c r="H75" i="3"/>
  <c r="I84" i="9" s="1"/>
  <c r="I74" i="3"/>
  <c r="J83" i="9" s="1"/>
  <c r="J79" i="9"/>
  <c r="V79" i="9" s="1"/>
  <c r="K75" i="3"/>
  <c r="L84" i="9" s="1"/>
  <c r="E77" i="3"/>
  <c r="F86" i="9" s="1"/>
  <c r="K85" i="9"/>
  <c r="L85" i="9"/>
  <c r="E71" i="3"/>
  <c r="F80" i="9" s="1"/>
  <c r="R80" i="9" s="1"/>
  <c r="F77" i="3"/>
  <c r="G86" i="9" s="1"/>
  <c r="F75" i="3"/>
  <c r="G84" i="9" s="1"/>
  <c r="X97" i="9" l="1"/>
  <c r="E108" i="9"/>
  <c r="Q108" i="9" s="1"/>
  <c r="E18" i="9" s="1"/>
  <c r="J22" i="9"/>
  <c r="I30" i="9"/>
  <c r="D30" i="9"/>
  <c r="E19" i="9"/>
  <c r="I22" i="9"/>
  <c r="I19" i="9"/>
  <c r="H22" i="9"/>
  <c r="H19" i="9"/>
  <c r="D19" i="9"/>
  <c r="D22" i="9"/>
  <c r="H16" i="9"/>
  <c r="H30" i="9"/>
  <c r="E16" i="9"/>
  <c r="E30" i="9"/>
  <c r="F109" i="9"/>
  <c r="R109" i="9" s="1"/>
  <c r="F29" i="9" s="1"/>
  <c r="H109" i="9"/>
  <c r="T109" i="9" s="1"/>
  <c r="H29" i="9" s="1"/>
  <c r="D109" i="9"/>
  <c r="P109" i="9" s="1"/>
  <c r="D29" i="9" s="1"/>
  <c r="F22" i="9"/>
  <c r="S78" i="9"/>
  <c r="G98" i="9" s="1"/>
  <c r="S98" i="9" s="1"/>
  <c r="J109" i="9"/>
  <c r="V109" i="9" s="1"/>
  <c r="J29" i="9" s="1"/>
  <c r="I109" i="9"/>
  <c r="U109" i="9" s="1"/>
  <c r="I29" i="9" s="1"/>
  <c r="E109" i="9"/>
  <c r="Q109" i="9" s="1"/>
  <c r="E29" i="9" s="1"/>
  <c r="S83" i="9"/>
  <c r="G103" i="9" s="1"/>
  <c r="S103" i="9" s="1"/>
  <c r="Q85" i="9"/>
  <c r="E105" i="9" s="1"/>
  <c r="Q105" i="9" s="1"/>
  <c r="S86" i="9"/>
  <c r="G106" i="9" s="1"/>
  <c r="S106" i="9" s="1"/>
  <c r="W85" i="9"/>
  <c r="K105" i="9" s="1"/>
  <c r="W105" i="9" s="1"/>
  <c r="R83" i="9"/>
  <c r="F103" i="9" s="1"/>
  <c r="R103" i="9" s="1"/>
  <c r="H100" i="9"/>
  <c r="T100" i="9" s="1"/>
  <c r="W83" i="9"/>
  <c r="K103" i="9" s="1"/>
  <c r="W103" i="9" s="1"/>
  <c r="U85" i="9"/>
  <c r="I105" i="9" s="1"/>
  <c r="U105" i="9" s="1"/>
  <c r="X84" i="9"/>
  <c r="L104" i="9" s="1"/>
  <c r="X104" i="9" s="1"/>
  <c r="R84" i="9"/>
  <c r="F104" i="9" s="1"/>
  <c r="R104" i="9" s="1"/>
  <c r="S84" i="9"/>
  <c r="G104" i="9" s="1"/>
  <c r="S104" i="9" s="1"/>
  <c r="F100" i="9"/>
  <c r="R100" i="9" s="1"/>
  <c r="P82" i="9"/>
  <c r="D102" i="9" s="1"/>
  <c r="P102" i="9" s="1"/>
  <c r="D26" i="9" s="1"/>
  <c r="J99" i="9"/>
  <c r="V99" i="9" s="1"/>
  <c r="J13" i="9" s="1"/>
  <c r="X85" i="9"/>
  <c r="L105" i="9" s="1"/>
  <c r="X105" i="9" s="1"/>
  <c r="T83" i="9"/>
  <c r="H103" i="9" s="1"/>
  <c r="T103" i="9" s="1"/>
  <c r="V83" i="9"/>
  <c r="J103" i="9" s="1"/>
  <c r="V103" i="9" s="1"/>
  <c r="U84" i="9"/>
  <c r="I104" i="9" s="1"/>
  <c r="U104" i="9" s="1"/>
  <c r="V85" i="9"/>
  <c r="J105" i="9" s="1"/>
  <c r="V105" i="9" s="1"/>
  <c r="Q86" i="9"/>
  <c r="E106" i="9" s="1"/>
  <c r="Q106" i="9" s="1"/>
  <c r="R86" i="9"/>
  <c r="F106" i="9" s="1"/>
  <c r="R106" i="9" s="1"/>
  <c r="U86" i="9"/>
  <c r="I106" i="9" s="1"/>
  <c r="U106" i="9" s="1"/>
  <c r="V84" i="9"/>
  <c r="J104" i="9" s="1"/>
  <c r="V104" i="9" s="1"/>
  <c r="W86" i="9"/>
  <c r="K106" i="9" s="1"/>
  <c r="W106" i="9" s="1"/>
  <c r="D24" i="9"/>
  <c r="D10" i="9"/>
  <c r="D12" i="9"/>
  <c r="I10" i="9"/>
  <c r="E11" i="9"/>
  <c r="E12" i="9"/>
  <c r="H17" i="9"/>
  <c r="J12" i="9"/>
  <c r="J10" i="9"/>
  <c r="I12" i="9"/>
  <c r="F17" i="9" l="1"/>
  <c r="E17" i="9"/>
  <c r="I17" i="9"/>
  <c r="H12" i="9"/>
  <c r="H11" i="9"/>
  <c r="H10" i="9"/>
  <c r="F10" i="9"/>
  <c r="F11" i="9"/>
  <c r="F12" i="9"/>
  <c r="G17" i="9"/>
  <c r="G16" i="9" s="1"/>
  <c r="K17" i="9"/>
  <c r="K16" i="9" s="1"/>
</calcChain>
</file>

<file path=xl/sharedStrings.xml><?xml version="1.0" encoding="utf-8"?>
<sst xmlns="http://schemas.openxmlformats.org/spreadsheetml/2006/main" count="1276" uniqueCount="318">
  <si>
    <t>11-20cm</t>
  </si>
  <si>
    <t>21-30cm</t>
  </si>
  <si>
    <t>31-40cm</t>
  </si>
  <si>
    <t>41-50cm</t>
  </si>
  <si>
    <t>51-60cm</t>
  </si>
  <si>
    <t>Morgan &amp; Kench 2016</t>
  </si>
  <si>
    <t>Yarlett et al. 2017</t>
  </si>
  <si>
    <t>Chlorurus sordidus</t>
  </si>
  <si>
    <t>Chlorurus strongylocephalus</t>
  </si>
  <si>
    <t>25-34cm</t>
  </si>
  <si>
    <t>35-44cm</t>
  </si>
  <si>
    <t>Initial Phase</t>
  </si>
  <si>
    <t>Terminal Phase</t>
  </si>
  <si>
    <t>16-30cm</t>
  </si>
  <si>
    <t>&lt;15cm</t>
  </si>
  <si>
    <t>31-45cm</t>
  </si>
  <si>
    <t>&gt;46cm</t>
  </si>
  <si>
    <t>Scarus rubroviolaceus</t>
  </si>
  <si>
    <t>45-54cm</t>
  </si>
  <si>
    <t>Ong &amp; Holland 2010</t>
  </si>
  <si>
    <t>Bellwood 1995</t>
  </si>
  <si>
    <t>Lokrantz et al. 2008</t>
  </si>
  <si>
    <t>Scarus niger</t>
  </si>
  <si>
    <t>15-20cm</t>
  </si>
  <si>
    <t>Study</t>
  </si>
  <si>
    <t>Bellwood &amp; Choat 1990</t>
  </si>
  <si>
    <t>Cetoscarus bicolor</t>
  </si>
  <si>
    <t>Scarus frenatus</t>
  </si>
  <si>
    <t>Scarus psittacus</t>
  </si>
  <si>
    <t>Scarus ghobban</t>
  </si>
  <si>
    <t>Scarus globiceps</t>
  </si>
  <si>
    <t>Maldives</t>
  </si>
  <si>
    <t>Hawaii</t>
  </si>
  <si>
    <t>Tanzania</t>
  </si>
  <si>
    <t>Chagos</t>
  </si>
  <si>
    <t>Great Barrier Reef</t>
  </si>
  <si>
    <t>Jenuchowski-Hartley - unpublished data 2014</t>
  </si>
  <si>
    <t>Seychelles &amp; Mozambique</t>
  </si>
  <si>
    <t>Scrapers</t>
  </si>
  <si>
    <t>average Indo-Pacific</t>
  </si>
  <si>
    <t>ReefBudget size class</t>
  </si>
  <si>
    <t>Afeworki et al. 2011</t>
  </si>
  <si>
    <t>Red Sea</t>
  </si>
  <si>
    <t>Scarus ferrugineus</t>
  </si>
  <si>
    <t>Afeworki et al. 2013</t>
  </si>
  <si>
    <t>Chlorurus bleekeri</t>
  </si>
  <si>
    <t>Chlorurus gibbus</t>
  </si>
  <si>
    <t>Alwany et al. 2009</t>
  </si>
  <si>
    <t>Chlorurus perspicillatus</t>
  </si>
  <si>
    <t>Scraus rubroviolaceus</t>
  </si>
  <si>
    <t>Excavators</t>
  </si>
  <si>
    <t>Chlorurus strongylocephalus/microrhinos/gibbus</t>
  </si>
  <si>
    <t>20cm</t>
  </si>
  <si>
    <t>25cm</t>
  </si>
  <si>
    <t>35cm</t>
  </si>
  <si>
    <t>25-30cm</t>
  </si>
  <si>
    <t>46-60cm</t>
  </si>
  <si>
    <t>Life phase</t>
  </si>
  <si>
    <t>45-55cm</t>
  </si>
  <si>
    <t>50cm</t>
  </si>
  <si>
    <t>55-60cm</t>
  </si>
  <si>
    <r>
      <t xml:space="preserve">Chlorurus microrhinos </t>
    </r>
    <r>
      <rPr>
        <sz val="11"/>
        <color theme="1"/>
        <rFont val="Calibri"/>
        <family val="2"/>
        <scheme val="minor"/>
      </rPr>
      <t xml:space="preserve">(as </t>
    </r>
    <r>
      <rPr>
        <i/>
        <sz val="11"/>
        <color theme="1"/>
        <rFont val="Calibri"/>
        <family val="2"/>
        <scheme val="minor"/>
      </rPr>
      <t>gibbus</t>
    </r>
    <r>
      <rPr>
        <sz val="11"/>
        <color theme="1"/>
        <rFont val="Calibri"/>
        <family val="2"/>
        <scheme val="minor"/>
      </rPr>
      <t>)</t>
    </r>
  </si>
  <si>
    <r>
      <t>Cetoscarus ocellatus</t>
    </r>
    <r>
      <rPr>
        <sz val="11"/>
        <color theme="1"/>
        <rFont val="Calibri"/>
        <family val="2"/>
        <scheme val="minor"/>
      </rPr>
      <t xml:space="preserve"> (as </t>
    </r>
    <r>
      <rPr>
        <i/>
        <sz val="11"/>
        <color theme="1"/>
        <rFont val="Calibri"/>
        <family val="2"/>
        <scheme val="minor"/>
      </rPr>
      <t>bicolor</t>
    </r>
    <r>
      <rPr>
        <sz val="11"/>
        <color theme="1"/>
        <rFont val="Calibri"/>
        <family val="2"/>
        <scheme val="minor"/>
      </rPr>
      <t>)</t>
    </r>
  </si>
  <si>
    <t>Cetoscarus bicolor/ocellatus</t>
  </si>
  <si>
    <t>calculated from daily feeding rates and minutes per day feeding</t>
  </si>
  <si>
    <t>calculated from quadratic function y=-0.0488*FL^2+1.52*FL+20.58</t>
  </si>
  <si>
    <t>study size class</t>
  </si>
  <si>
    <t>mean value as no  correlation between feeding rate and body size was found</t>
  </si>
  <si>
    <t>calculated from daily feeding rates and 10 h of feeding</t>
  </si>
  <si>
    <t>Chlorurus atrilunula</t>
  </si>
  <si>
    <t>Scarus chameleon</t>
  </si>
  <si>
    <t>Scarus flavipectoralis</t>
  </si>
  <si>
    <t>Scarus oviceps</t>
  </si>
  <si>
    <t>Scarus rivulatus</t>
  </si>
  <si>
    <t>Scarus schlegeli</t>
  </si>
  <si>
    <t>Scarus spinus</t>
  </si>
  <si>
    <t>Occasional excavators</t>
  </si>
  <si>
    <t>Notes:</t>
  </si>
  <si>
    <t>15cm</t>
  </si>
  <si>
    <t>46-54cm</t>
  </si>
  <si>
    <t>paper gives size range for morphological analysis. As we assume that these collected specimen are the most common sizes in the studied reefs, we adoped the given bite rates to those size classes which fall into the mentioned the size range.</t>
  </si>
  <si>
    <t>no sizes or range stated</t>
  </si>
  <si>
    <t>values or line of best fit from correlation analysis is not reported in the publication</t>
  </si>
  <si>
    <r>
      <t>Chlorurus spilurus</t>
    </r>
    <r>
      <rPr>
        <sz val="11"/>
        <color theme="1"/>
        <rFont val="Calibri"/>
        <family val="2"/>
        <scheme val="minor"/>
      </rPr>
      <t xml:space="preserve"> (as</t>
    </r>
    <r>
      <rPr>
        <i/>
        <sz val="11"/>
        <color theme="1"/>
        <rFont val="Calibri"/>
        <family val="2"/>
        <scheme val="minor"/>
      </rPr>
      <t xml:space="preserve"> sordidus</t>
    </r>
    <r>
      <rPr>
        <sz val="11"/>
        <color theme="1"/>
        <rFont val="Calibri"/>
        <family val="2"/>
        <scheme val="minor"/>
      </rPr>
      <t>)</t>
    </r>
  </si>
  <si>
    <r>
      <t xml:space="preserve">Chlorurus </t>
    </r>
    <r>
      <rPr>
        <i/>
        <u/>
        <sz val="11"/>
        <color theme="1"/>
        <rFont val="Calibri"/>
        <family val="2"/>
        <scheme val="minor"/>
      </rPr>
      <t>strongylocephalus/microrhinos/gibbus</t>
    </r>
  </si>
  <si>
    <r>
      <t xml:space="preserve">Cetoscarus </t>
    </r>
    <r>
      <rPr>
        <i/>
        <u/>
        <sz val="11"/>
        <color theme="1"/>
        <rFont val="Calibri"/>
        <family val="2"/>
        <scheme val="minor"/>
      </rPr>
      <t>bicolor/ocellatus</t>
    </r>
  </si>
  <si>
    <r>
      <t xml:space="preserve">Scarus </t>
    </r>
    <r>
      <rPr>
        <i/>
        <u/>
        <sz val="11"/>
        <color theme="1"/>
        <rFont val="Calibri"/>
        <family val="2"/>
        <scheme val="minor"/>
      </rPr>
      <t>ferrugineus</t>
    </r>
    <r>
      <rPr>
        <i/>
        <sz val="11"/>
        <color theme="1"/>
        <rFont val="Calibri"/>
        <family val="2"/>
        <scheme val="minor"/>
      </rPr>
      <t>/persicus</t>
    </r>
  </si>
  <si>
    <r>
      <t xml:space="preserve"> Bite rate (bites min</t>
    </r>
    <r>
      <rPr>
        <b/>
        <vertAlign val="superscript"/>
        <sz val="12"/>
        <color theme="1"/>
        <rFont val="Calibri"/>
        <family val="2"/>
        <scheme val="minor"/>
      </rPr>
      <t>-1</t>
    </r>
    <r>
      <rPr>
        <b/>
        <sz val="12"/>
        <color theme="1"/>
        <rFont val="Calibri"/>
        <family val="2"/>
        <scheme val="minor"/>
      </rPr>
      <t>)</t>
    </r>
  </si>
  <si>
    <t>Region/species</t>
  </si>
  <si>
    <t>References:</t>
  </si>
  <si>
    <t>groups based on sister species or clades in Choat et al. 2012 and Bonaldo et al. 2014</t>
  </si>
  <si>
    <t>Standard length stated in the text: 12.6-22.5 cm</t>
  </si>
  <si>
    <t>45cm</t>
  </si>
  <si>
    <t>55cm</t>
  </si>
  <si>
    <t>y=6E-05e^0.0553x, R2=0.9883</t>
  </si>
  <si>
    <t>y=3E-06x^1.3379, R2=0.9633</t>
  </si>
  <si>
    <r>
      <t xml:space="preserve">Volumes were calculated from area scraped/min (calculated from given powerfunctions and fish size) by dividing through bite rate/min and multiplying with 1.5 mm bite depth for </t>
    </r>
    <r>
      <rPr>
        <i/>
        <sz val="11"/>
        <color theme="1"/>
        <rFont val="Calibri"/>
        <family val="2"/>
        <scheme val="minor"/>
      </rPr>
      <t xml:space="preserve">C. strongylocephalus </t>
    </r>
    <r>
      <rPr>
        <sz val="11"/>
        <color theme="1"/>
        <rFont val="Calibri"/>
        <family val="2"/>
        <scheme val="minor"/>
      </rPr>
      <t xml:space="preserve">(after Bellwood 1995). Since only the greatest length and width of the scar were recorded, the bite size is likely to be an overestimation. </t>
    </r>
  </si>
  <si>
    <r>
      <t xml:space="preserve">Volumes were calculated from area scraped/min (calculated from given powerfunctions and fish size) by dividing through bite rate/min and multiplying with 0.1 mm bite depth for </t>
    </r>
    <r>
      <rPr>
        <i/>
        <sz val="11"/>
        <color theme="1"/>
        <rFont val="Calibri"/>
        <family val="2"/>
        <scheme val="minor"/>
      </rPr>
      <t xml:space="preserve">C. sordidus </t>
    </r>
    <r>
      <rPr>
        <sz val="11"/>
        <color theme="1"/>
        <rFont val="Calibri"/>
        <family val="2"/>
        <scheme val="minor"/>
      </rPr>
      <t xml:space="preserve">(after Bellwood 1995). Since only the greatest length and width of the scar were recorded, the bite size is likely to be an overestimation. </t>
    </r>
  </si>
  <si>
    <t>y=0.0001e^0.0947x, R2=0.9738</t>
  </si>
  <si>
    <t>data for the respective group provided by underlined species</t>
  </si>
  <si>
    <t>best fit trendline from original size classes</t>
  </si>
  <si>
    <t>5. Grey text indicates substitute values from other phase/size class or values where no specific size was given.</t>
  </si>
  <si>
    <t>6. Greyed out cells indicate size classes above the maximum length of the species reported at fishbase.org.</t>
  </si>
  <si>
    <r>
      <t xml:space="preserve">Scarus </t>
    </r>
    <r>
      <rPr>
        <i/>
        <u/>
        <sz val="11"/>
        <color theme="1"/>
        <rFont val="Calibri"/>
        <family val="2"/>
        <scheme val="minor"/>
      </rPr>
      <t>rubroviolaceus</t>
    </r>
  </si>
  <si>
    <t>Indian Ocean Species</t>
  </si>
  <si>
    <t>Calatomus carolinus</t>
  </si>
  <si>
    <t>Leptoscarus viagiensis</t>
  </si>
  <si>
    <t>Hipposcarus harid</t>
  </si>
  <si>
    <t>Chlorurus capistratoides</t>
  </si>
  <si>
    <t>Chlorurus japanensis</t>
  </si>
  <si>
    <t>Scarus caudofasciatus</t>
  </si>
  <si>
    <t>Scarus falcipinnis</t>
  </si>
  <si>
    <t>Scarus festivus</t>
  </si>
  <si>
    <t>Scarus russellii</t>
  </si>
  <si>
    <t>Scarus scaber</t>
  </si>
  <si>
    <t>Scarus tricolor</t>
  </si>
  <si>
    <t>Scarus viridifucatus</t>
  </si>
  <si>
    <t>Groups are based on sister species or clades in Choat et al. (2012) and Bonaldo et al. (2014)</t>
  </si>
  <si>
    <t>Excavator</t>
  </si>
  <si>
    <t>occ. Excavator</t>
  </si>
  <si>
    <t>Scraper</t>
  </si>
  <si>
    <r>
      <t xml:space="preserve">% of day feeding </t>
    </r>
    <r>
      <rPr>
        <sz val="11"/>
        <color theme="1"/>
        <rFont val="Calibri"/>
        <family val="2"/>
        <scheme val="minor"/>
      </rPr>
      <t>(Bellwood et al. 1995)</t>
    </r>
  </si>
  <si>
    <t>Scarus ferrugineus/persicus</t>
  </si>
  <si>
    <r>
      <t xml:space="preserve">Chlorurus gibbus </t>
    </r>
    <r>
      <rPr>
        <sz val="11"/>
        <color theme="1"/>
        <rFont val="Calibri"/>
        <family val="2"/>
        <scheme val="minor"/>
      </rPr>
      <t>and large parrotfish</t>
    </r>
  </si>
  <si>
    <r>
      <t xml:space="preserve">Chlorurus sordidus </t>
    </r>
    <r>
      <rPr>
        <sz val="11"/>
        <color theme="1"/>
        <rFont val="Calibri"/>
        <family val="2"/>
        <scheme val="minor"/>
      </rPr>
      <t>and small parrotfish</t>
    </r>
  </si>
  <si>
    <r>
      <t>Bite rate (bites min</t>
    </r>
    <r>
      <rPr>
        <b/>
        <vertAlign val="superscript"/>
        <sz val="11"/>
        <color theme="1"/>
        <rFont val="Calibri"/>
        <family val="2"/>
        <scheme val="minor"/>
      </rPr>
      <t>-1</t>
    </r>
    <r>
      <rPr>
        <b/>
        <sz val="11"/>
        <color theme="1"/>
        <rFont val="Calibri"/>
        <family val="2"/>
        <scheme val="minor"/>
      </rPr>
      <t>)</t>
    </r>
  </si>
  <si>
    <t>2. In several studies, bite rates were not influenced by life phase but only by fish size (e.g. Afeworki et al. 2013), which is why in some cases, values from one phase were substituted with the same size class of the other phase to increase data coverage.</t>
  </si>
  <si>
    <r>
      <t xml:space="preserve">"It was not possible to estimate the depth of many </t>
    </r>
    <r>
      <rPr>
        <i/>
        <sz val="11"/>
        <color theme="1"/>
        <rFont val="Calibri"/>
        <family val="2"/>
        <scheme val="minor"/>
      </rPr>
      <t>Chlorurus sordidus</t>
    </r>
    <r>
      <rPr>
        <sz val="11"/>
        <color theme="1"/>
        <rFont val="Calibri"/>
        <family val="2"/>
        <scheme val="minor"/>
      </rPr>
      <t xml:space="preserve"> bites with accuracy, as many were &lt; 0.1 mm. A depth value of 0.1 mm was therefore used to permit a volume estimate for further calculations. This has probably resulted in an overestimate of the volume removed." Depth </t>
    </r>
    <r>
      <rPr>
        <i/>
        <sz val="11"/>
        <color theme="1"/>
        <rFont val="Calibri"/>
        <family val="2"/>
        <scheme val="minor"/>
      </rPr>
      <t>C. microrhinos:</t>
    </r>
    <r>
      <rPr>
        <sz val="11"/>
        <color theme="1"/>
        <rFont val="Calibri"/>
        <family val="2"/>
        <scheme val="minor"/>
      </rPr>
      <t xml:space="preserve"> 1.5 mm</t>
    </r>
  </si>
  <si>
    <r>
      <t xml:space="preserve">Scarus </t>
    </r>
    <r>
      <rPr>
        <i/>
        <u/>
        <sz val="11"/>
        <color theme="1"/>
        <rFont val="Calibri"/>
        <family val="2"/>
        <scheme val="minor"/>
      </rPr>
      <t>ghobban</t>
    </r>
  </si>
  <si>
    <t>Cetoscarus ocellatus</t>
  </si>
  <si>
    <t>Indian and Pacific Oceans</t>
  </si>
  <si>
    <t>Indian Ocean</t>
  </si>
  <si>
    <t>Indo-West Pacific</t>
  </si>
  <si>
    <t>Scarus prasiognathos</t>
  </si>
  <si>
    <t>Scarus russelii</t>
  </si>
  <si>
    <t>Calotomus carolinus</t>
  </si>
  <si>
    <t>Leptoscarus vaigiensis</t>
  </si>
  <si>
    <t>Species</t>
  </si>
  <si>
    <t>a</t>
  </si>
  <si>
    <t>b</t>
  </si>
  <si>
    <t>c</t>
  </si>
  <si>
    <t>Occurrence</t>
  </si>
  <si>
    <t>Pacific Ocean</t>
  </si>
  <si>
    <t>Maximum total length (cm)</t>
  </si>
  <si>
    <r>
      <rPr>
        <i/>
        <sz val="11"/>
        <color theme="1"/>
        <rFont val="Calibri"/>
        <family val="2"/>
        <scheme val="minor"/>
      </rPr>
      <t xml:space="preserve">Chlorurus </t>
    </r>
    <r>
      <rPr>
        <i/>
        <u/>
        <sz val="11"/>
        <color theme="1"/>
        <rFont val="Calibri"/>
        <family val="2"/>
        <scheme val="minor"/>
      </rPr>
      <t>perspicillatus</t>
    </r>
  </si>
  <si>
    <t>Fox &amp; Bellwood 2007</t>
  </si>
  <si>
    <t>11-25cm</t>
  </si>
  <si>
    <t>&gt;25cm</t>
  </si>
  <si>
    <t>Chlorurus microrhinos</t>
  </si>
  <si>
    <t>&gt;30cm</t>
  </si>
  <si>
    <t>y=2E-06x^2.175, R2=0.9819</t>
  </si>
  <si>
    <t>Hoey et al. 2016</t>
  </si>
  <si>
    <t>Red Sea &amp; Gulf of Oman</t>
  </si>
  <si>
    <t>no sizes or range stated, adult fish</t>
  </si>
  <si>
    <t>Scarus persicus</t>
  </si>
  <si>
    <t>Scarus fuscopurpureus</t>
  </si>
  <si>
    <r>
      <t xml:space="preserve">Scarus </t>
    </r>
    <r>
      <rPr>
        <i/>
        <u/>
        <sz val="11"/>
        <color theme="1"/>
        <rFont val="Calibri"/>
        <family val="2"/>
        <scheme val="minor"/>
      </rPr>
      <t>ferrugineus/persicus</t>
    </r>
  </si>
  <si>
    <t>Fox, R. J., &amp; Bellwood, D. R. (2007). Quantifying herbivory across a coral reef depth gradient. Marine Ecology Progress Series, 339, 49-59.</t>
  </si>
  <si>
    <t>Length-Weight relationships</t>
  </si>
  <si>
    <t>Substitutes used (based on phylogeny in Choat et al. 2012, and known differences in size range and feeding behaviour)</t>
  </si>
  <si>
    <t>Froese R, Pauly D (2018) FishBase. World Wide Web electronic publication. www.fishbase.org (08/2018)</t>
  </si>
  <si>
    <r>
      <t>Biomass (kg m</t>
    </r>
    <r>
      <rPr>
        <vertAlign val="superscript"/>
        <sz val="11"/>
        <color theme="1"/>
        <rFont val="Arial"/>
        <family val="2"/>
      </rPr>
      <t>-2</t>
    </r>
    <r>
      <rPr>
        <sz val="11"/>
        <color theme="1"/>
        <rFont val="Arial"/>
        <family val="2"/>
      </rPr>
      <t>) = (a.(c.TL)</t>
    </r>
    <r>
      <rPr>
        <vertAlign val="superscript"/>
        <sz val="11"/>
        <color theme="1"/>
        <rFont val="Arial"/>
        <family val="2"/>
      </rPr>
      <t>b</t>
    </r>
    <r>
      <rPr>
        <sz val="11"/>
        <color theme="1"/>
        <rFont val="Arial"/>
        <family val="2"/>
      </rPr>
      <t>)/1000</t>
    </r>
  </si>
  <si>
    <t>Biomass is calculated from total length using the formula:</t>
  </si>
  <si>
    <r>
      <t xml:space="preserve">where a and b are averages of length-weight relationships published at fishbase.org (Froese &amp; Pauly 2018), weighted by the number of replicates and the goodness of fit in each study. </t>
    </r>
    <r>
      <rPr>
        <sz val="11"/>
        <color rgb="FF000000"/>
        <rFont val="Arial"/>
        <family val="2"/>
      </rPr>
      <t xml:space="preserve">TL is the total length of the fish in cm and c </t>
    </r>
    <r>
      <rPr>
        <sz val="11"/>
        <color theme="1"/>
        <rFont val="Arial"/>
        <family val="2"/>
      </rPr>
      <t>a conversion factor in case the relationships were derived from standard length instead of total length. Where there was no published relationship available for a particular species, the relationship for a species within the same genera, of similar size and geographic range was used.</t>
    </r>
  </si>
  <si>
    <r>
      <t>Afeworki, Y., Bruggemann, J. H., &amp; Videler, J. J. (2011). Limited flexibility in resource use in a coral reef grazer foraging on seasonally changing algal communities. </t>
    </r>
    <r>
      <rPr>
        <i/>
        <sz val="10"/>
        <color rgb="FF222222"/>
        <rFont val="Arial"/>
        <family val="2"/>
      </rPr>
      <t>Coral Reefs</t>
    </r>
    <r>
      <rPr>
        <sz val="10"/>
        <color rgb="FF222222"/>
        <rFont val="Arial"/>
        <family val="2"/>
      </rPr>
      <t>, </t>
    </r>
    <r>
      <rPr>
        <i/>
        <sz val="10"/>
        <color rgb="FF222222"/>
        <rFont val="Arial"/>
        <family val="2"/>
      </rPr>
      <t>30</t>
    </r>
    <r>
      <rPr>
        <sz val="10"/>
        <color rgb="FF222222"/>
        <rFont val="Arial"/>
        <family val="2"/>
      </rPr>
      <t>(1), 109-122.</t>
    </r>
  </si>
  <si>
    <r>
      <t>Afeworki, Y., Zekeria, Z. A., Videler, J. J., &amp; Bruggemann, J. H. (2013). Food intake by the parrotfish Scarus ferrugineus varies seasonally and is determined by temperature, size and territoriality. </t>
    </r>
    <r>
      <rPr>
        <i/>
        <sz val="10"/>
        <color rgb="FF222222"/>
        <rFont val="Arial"/>
        <family val="2"/>
      </rPr>
      <t>Marine Ecology Progress Series</t>
    </r>
    <r>
      <rPr>
        <sz val="10"/>
        <color rgb="FF222222"/>
        <rFont val="Arial"/>
        <family val="2"/>
      </rPr>
      <t>, </t>
    </r>
    <r>
      <rPr>
        <i/>
        <sz val="10"/>
        <color rgb="FF222222"/>
        <rFont val="Arial"/>
        <family val="2"/>
      </rPr>
      <t>489</t>
    </r>
    <r>
      <rPr>
        <sz val="10"/>
        <color rgb="FF222222"/>
        <rFont val="Arial"/>
        <family val="2"/>
      </rPr>
      <t>, 213-224.</t>
    </r>
  </si>
  <si>
    <r>
      <t>Alwany, M. A., Thaler, E., &amp; Stachowitsch, M. (2009). Parrotfish bioerosion on Egyptian red sea reefs. </t>
    </r>
    <r>
      <rPr>
        <i/>
        <sz val="10"/>
        <color rgb="FF222222"/>
        <rFont val="Arial"/>
        <family val="2"/>
      </rPr>
      <t>Journal of experimental marine biology and ecology</t>
    </r>
    <r>
      <rPr>
        <sz val="10"/>
        <color rgb="FF222222"/>
        <rFont val="Arial"/>
        <family val="2"/>
      </rPr>
      <t>, </t>
    </r>
    <r>
      <rPr>
        <i/>
        <sz val="10"/>
        <color rgb="FF222222"/>
        <rFont val="Arial"/>
        <family val="2"/>
      </rPr>
      <t>371</t>
    </r>
    <r>
      <rPr>
        <sz val="10"/>
        <color rgb="FF222222"/>
        <rFont val="Arial"/>
        <family val="2"/>
      </rPr>
      <t>(2), 170-176.</t>
    </r>
  </si>
  <si>
    <r>
      <t>Bellwood, D. R., &amp; Choat, J. H. (1990). A functional analysis of grazing in parrotfishes (family Scaridae): the ecological implications. In </t>
    </r>
    <r>
      <rPr>
        <i/>
        <sz val="10"/>
        <color rgb="FF222222"/>
        <rFont val="Arial"/>
        <family val="2"/>
      </rPr>
      <t>Alternative life-history styles of fishes</t>
    </r>
    <r>
      <rPr>
        <sz val="10"/>
        <color rgb="FF222222"/>
        <rFont val="Arial"/>
        <family val="2"/>
      </rPr>
      <t> (pp. 189-214). Springer, Dordrecht.</t>
    </r>
  </si>
  <si>
    <r>
      <t>Bellwood, D. R. (1995). Direct estimate of bioerosion by two parrotfish species, Chlorurus gibbus and C. sordidus, on the Great Barrier Reef, Australia. </t>
    </r>
    <r>
      <rPr>
        <i/>
        <sz val="10"/>
        <color rgb="FF222222"/>
        <rFont val="Arial"/>
        <family val="2"/>
      </rPr>
      <t>Marine Biology</t>
    </r>
    <r>
      <rPr>
        <sz val="10"/>
        <color rgb="FF222222"/>
        <rFont val="Arial"/>
        <family val="2"/>
      </rPr>
      <t>, </t>
    </r>
    <r>
      <rPr>
        <i/>
        <sz val="10"/>
        <color rgb="FF222222"/>
        <rFont val="Arial"/>
        <family val="2"/>
      </rPr>
      <t>121</t>
    </r>
    <r>
      <rPr>
        <sz val="10"/>
        <color rgb="FF222222"/>
        <rFont val="Arial"/>
        <family val="2"/>
      </rPr>
      <t>(3), 419-429</t>
    </r>
  </si>
  <si>
    <r>
      <t>Bonaldo, R. M., Hoey, A. S., &amp; Bellwood, D. R. (2014). The ecosystem roles of parrotfishes on tropical reefs. </t>
    </r>
    <r>
      <rPr>
        <i/>
        <sz val="10"/>
        <color rgb="FF222222"/>
        <rFont val="Arial"/>
        <family val="2"/>
      </rPr>
      <t>Oceanography and Marine Biology: An Annual Review</t>
    </r>
    <r>
      <rPr>
        <sz val="10"/>
        <color rgb="FF222222"/>
        <rFont val="Arial"/>
        <family val="2"/>
      </rPr>
      <t>, </t>
    </r>
    <r>
      <rPr>
        <i/>
        <sz val="10"/>
        <color rgb="FF222222"/>
        <rFont val="Arial"/>
        <family val="2"/>
      </rPr>
      <t>52</t>
    </r>
    <r>
      <rPr>
        <sz val="10"/>
        <color rgb="FF222222"/>
        <rFont val="Arial"/>
        <family val="2"/>
      </rPr>
      <t>, 81-132.</t>
    </r>
  </si>
  <si>
    <r>
      <t>Choat, J. H., Klanten, O. S., Van Herwerden, L., Robertson, D. R., &amp; Clements, K. D. (2012). Patterns and processes in the evolutionary history of parrotfishes (Family Labridae). </t>
    </r>
    <r>
      <rPr>
        <i/>
        <sz val="10"/>
        <color rgb="FF222222"/>
        <rFont val="Arial"/>
        <family val="2"/>
      </rPr>
      <t>Biological Journal of the Linnean Society</t>
    </r>
    <r>
      <rPr>
        <sz val="10"/>
        <color rgb="FF222222"/>
        <rFont val="Arial"/>
        <family val="2"/>
      </rPr>
      <t>, </t>
    </r>
    <r>
      <rPr>
        <i/>
        <sz val="10"/>
        <color rgb="FF222222"/>
        <rFont val="Arial"/>
        <family val="2"/>
      </rPr>
      <t>107</t>
    </r>
    <r>
      <rPr>
        <sz val="10"/>
        <color rgb="FF222222"/>
        <rFont val="Arial"/>
        <family val="2"/>
      </rPr>
      <t>(3), 529-557.</t>
    </r>
  </si>
  <si>
    <r>
      <t>Lokrantz, J., Nyström, M., Thyresson, M., &amp; Johansson, C. (2008). The non-linear relationship between body size and function in parrotfishes. </t>
    </r>
    <r>
      <rPr>
        <i/>
        <sz val="10"/>
        <color rgb="FF222222"/>
        <rFont val="Arial"/>
        <family val="2"/>
      </rPr>
      <t>Coral Reefs</t>
    </r>
    <r>
      <rPr>
        <sz val="10"/>
        <color rgb="FF222222"/>
        <rFont val="Arial"/>
        <family val="2"/>
      </rPr>
      <t>, </t>
    </r>
    <r>
      <rPr>
        <i/>
        <sz val="10"/>
        <color rgb="FF222222"/>
        <rFont val="Arial"/>
        <family val="2"/>
      </rPr>
      <t>27</t>
    </r>
    <r>
      <rPr>
        <sz val="10"/>
        <color rgb="FF222222"/>
        <rFont val="Arial"/>
        <family val="2"/>
      </rPr>
      <t>(4), 967-974.</t>
    </r>
  </si>
  <si>
    <r>
      <t>Morgan, K. M., &amp; Kench, P. S. (2016). Parrotfish erosion underpins reef growth, sand talus development and island building in the Maldives. </t>
    </r>
    <r>
      <rPr>
        <i/>
        <sz val="10"/>
        <color rgb="FF222222"/>
        <rFont val="Arial"/>
        <family val="2"/>
      </rPr>
      <t>Sedimentary geology</t>
    </r>
    <r>
      <rPr>
        <sz val="10"/>
        <color rgb="FF222222"/>
        <rFont val="Arial"/>
        <family val="2"/>
      </rPr>
      <t>, </t>
    </r>
    <r>
      <rPr>
        <i/>
        <sz val="10"/>
        <color rgb="FF222222"/>
        <rFont val="Arial"/>
        <family val="2"/>
      </rPr>
      <t>341</t>
    </r>
    <r>
      <rPr>
        <sz val="10"/>
        <color rgb="FF222222"/>
        <rFont val="Arial"/>
        <family val="2"/>
      </rPr>
      <t>, 50-57.</t>
    </r>
  </si>
  <si>
    <r>
      <t>Ong, L., &amp; Holland, K. N. (2010). Bioerosion of coral reefs by two Hawaiian parrotfishes: species, size differences and fishery implications. </t>
    </r>
    <r>
      <rPr>
        <i/>
        <sz val="10"/>
        <color rgb="FF222222"/>
        <rFont val="Arial"/>
        <family val="2"/>
      </rPr>
      <t>Marine biology</t>
    </r>
    <r>
      <rPr>
        <sz val="10"/>
        <color rgb="FF222222"/>
        <rFont val="Arial"/>
        <family val="2"/>
      </rPr>
      <t>, </t>
    </r>
    <r>
      <rPr>
        <i/>
        <sz val="10"/>
        <color rgb="FF222222"/>
        <rFont val="Arial"/>
        <family val="2"/>
      </rPr>
      <t>157</t>
    </r>
    <r>
      <rPr>
        <sz val="10"/>
        <color rgb="FF222222"/>
        <rFont val="Arial"/>
        <family val="2"/>
      </rPr>
      <t>(6), 1313-1323.</t>
    </r>
  </si>
  <si>
    <r>
      <t>Yarlett, R. T., Perry, C. T., Wilson, R. W., &amp; Philpot, K. E. (2018). Constraining species-size class variability in rates of parrotfish bioerosion on Maldivian coral reefs: implications for regional-scale bioerosion estimates. </t>
    </r>
    <r>
      <rPr>
        <i/>
        <sz val="10"/>
        <color rgb="FF222222"/>
        <rFont val="Arial"/>
        <family val="2"/>
      </rPr>
      <t>Marine Ecology Progress Series</t>
    </r>
    <r>
      <rPr>
        <sz val="10"/>
        <color rgb="FF222222"/>
        <rFont val="Arial"/>
        <family val="2"/>
      </rPr>
      <t>, </t>
    </r>
    <r>
      <rPr>
        <i/>
        <sz val="10"/>
        <color rgb="FF222222"/>
        <rFont val="Arial"/>
        <family val="2"/>
      </rPr>
      <t>590</t>
    </r>
    <r>
      <rPr>
        <sz val="10"/>
        <color rgb="FF222222"/>
        <rFont val="Arial"/>
        <family val="2"/>
      </rPr>
      <t>, 155-169.</t>
    </r>
  </si>
  <si>
    <t>Indonesia</t>
  </si>
  <si>
    <t>from raw data</t>
  </si>
  <si>
    <t>from raw data, if no phase was given data points were averaged into both I and T phase</t>
  </si>
  <si>
    <t/>
  </si>
  <si>
    <r>
      <t>Chlorurus microrhinos</t>
    </r>
    <r>
      <rPr>
        <sz val="11"/>
        <color theme="1"/>
        <rFont val="Calibri"/>
        <family val="2"/>
        <scheme val="minor"/>
      </rPr>
      <t/>
    </r>
  </si>
  <si>
    <r>
      <t xml:space="preserve">Chlorurus </t>
    </r>
    <r>
      <rPr>
        <i/>
        <u/>
        <sz val="11"/>
        <color theme="1"/>
        <rFont val="Calibri"/>
        <family val="2"/>
        <scheme val="minor"/>
      </rPr>
      <t>sordidus/spilurus/bleekeri</t>
    </r>
  </si>
  <si>
    <r>
      <t xml:space="preserve">Chlorurus </t>
    </r>
    <r>
      <rPr>
        <i/>
        <u/>
        <sz val="11"/>
        <color theme="1"/>
        <rFont val="Calibri"/>
        <family val="2"/>
        <scheme val="minor"/>
      </rPr>
      <t>atrilunula/capistratoides</t>
    </r>
    <r>
      <rPr>
        <i/>
        <sz val="11"/>
        <color theme="1"/>
        <rFont val="Calibri"/>
        <family val="2"/>
        <scheme val="minor"/>
      </rPr>
      <t>/japanensis</t>
    </r>
  </si>
  <si>
    <r>
      <t xml:space="preserve">Chlorurus </t>
    </r>
    <r>
      <rPr>
        <i/>
        <u/>
        <sz val="11"/>
        <color theme="1"/>
        <rFont val="Calibri"/>
        <family val="2"/>
        <scheme val="minor"/>
      </rPr>
      <t>perspicillatus</t>
    </r>
    <r>
      <rPr>
        <i/>
        <sz val="11"/>
        <color theme="1"/>
        <rFont val="Calibri"/>
        <family val="2"/>
        <scheme val="minor"/>
      </rPr>
      <t>/enneacanthus/frontalis</t>
    </r>
  </si>
  <si>
    <t>GBR</t>
  </si>
  <si>
    <t>Hipposcarus longiceps</t>
  </si>
  <si>
    <t>Scarus altipinnis</t>
  </si>
  <si>
    <t>Scarus dimidiatus</t>
  </si>
  <si>
    <t>Scarus forsteni</t>
  </si>
  <si>
    <r>
      <t xml:space="preserve">Scarus </t>
    </r>
    <r>
      <rPr>
        <i/>
        <u/>
        <sz val="11"/>
        <color theme="1"/>
        <rFont val="Calibri"/>
        <family val="2"/>
        <scheme val="minor"/>
      </rPr>
      <t>frenatus</t>
    </r>
  </si>
  <si>
    <r>
      <t xml:space="preserve">Scarus </t>
    </r>
    <r>
      <rPr>
        <i/>
        <u/>
        <sz val="11"/>
        <color theme="1"/>
        <rFont val="Calibri"/>
        <family val="2"/>
        <scheme val="minor"/>
      </rPr>
      <t>psittacus</t>
    </r>
  </si>
  <si>
    <t>from raw data, if no phase was given, those data points were averaged into both I and T phase</t>
  </si>
  <si>
    <r>
      <t xml:space="preserve">Hipposcarus </t>
    </r>
    <r>
      <rPr>
        <i/>
        <u/>
        <sz val="11"/>
        <color theme="1"/>
        <rFont val="Calibri"/>
        <family val="2"/>
        <scheme val="minor"/>
      </rPr>
      <t>harid/longiceps</t>
    </r>
  </si>
  <si>
    <r>
      <t xml:space="preserve">Scarus </t>
    </r>
    <r>
      <rPr>
        <i/>
        <u/>
        <sz val="11"/>
        <color theme="1"/>
        <rFont val="Calibri"/>
        <family val="2"/>
        <scheme val="minor"/>
      </rPr>
      <t>schlegeli/flavipectoralis/fuscopurpureus</t>
    </r>
    <r>
      <rPr>
        <i/>
        <sz val="11"/>
        <color theme="1"/>
        <rFont val="Calibri"/>
        <family val="2"/>
        <scheme val="minor"/>
      </rPr>
      <t>/russelii</t>
    </r>
  </si>
  <si>
    <r>
      <t xml:space="preserve">Scarus </t>
    </r>
    <r>
      <rPr>
        <i/>
        <u/>
        <sz val="11"/>
        <color theme="1"/>
        <rFont val="Calibri"/>
        <family val="2"/>
        <scheme val="minor"/>
      </rPr>
      <t>spinus</t>
    </r>
    <r>
      <rPr>
        <i/>
        <sz val="11"/>
        <color theme="1"/>
        <rFont val="Calibri"/>
        <family val="2"/>
        <scheme val="minor"/>
      </rPr>
      <t>/viridifucatus/xanthopleura</t>
    </r>
  </si>
  <si>
    <r>
      <t xml:space="preserve">Scarus </t>
    </r>
    <r>
      <rPr>
        <i/>
        <u/>
        <sz val="11"/>
        <color theme="1"/>
        <rFont val="Calibri"/>
        <family val="2"/>
        <scheme val="minor"/>
      </rPr>
      <t>globiceps/rivulatus/chameleon</t>
    </r>
    <r>
      <rPr>
        <i/>
        <sz val="11"/>
        <color theme="1"/>
        <rFont val="Calibri"/>
        <family val="2"/>
        <scheme val="minor"/>
      </rPr>
      <t>/festivus</t>
    </r>
  </si>
  <si>
    <t>not used for avg as same data was used for Robinson et al. 2019</t>
  </si>
  <si>
    <r>
      <t xml:space="preserve">Scarus </t>
    </r>
    <r>
      <rPr>
        <i/>
        <u/>
        <sz val="11"/>
        <color theme="1"/>
        <rFont val="Calibri"/>
        <family val="2"/>
        <scheme val="minor"/>
      </rPr>
      <t>niger/altipinnis</t>
    </r>
  </si>
  <si>
    <r>
      <t xml:space="preserve">Scarus </t>
    </r>
    <r>
      <rPr>
        <i/>
        <u/>
        <sz val="11"/>
        <color theme="1"/>
        <rFont val="Calibri"/>
        <family val="2"/>
        <scheme val="minor"/>
      </rPr>
      <t>tricolor/forsteni</t>
    </r>
  </si>
  <si>
    <r>
      <t xml:space="preserve">Scarus </t>
    </r>
    <r>
      <rPr>
        <i/>
        <u/>
        <sz val="11"/>
        <color theme="1"/>
        <rFont val="Calibri"/>
        <family val="2"/>
        <scheme val="minor"/>
      </rPr>
      <t>prasiognathos</t>
    </r>
    <r>
      <rPr>
        <i/>
        <sz val="11"/>
        <color theme="1"/>
        <rFont val="Calibri"/>
        <family val="2"/>
        <scheme val="minor"/>
      </rPr>
      <t>/falcipinnis</t>
    </r>
  </si>
  <si>
    <r>
      <t xml:space="preserve">Scarus </t>
    </r>
    <r>
      <rPr>
        <i/>
        <u/>
        <sz val="11"/>
        <color theme="1"/>
        <rFont val="Calibri"/>
        <family val="2"/>
        <scheme val="minor"/>
      </rPr>
      <t>scaber/oviceps/dimidiatus</t>
    </r>
  </si>
  <si>
    <r>
      <t xml:space="preserve">Scarus </t>
    </r>
    <r>
      <rPr>
        <i/>
        <u/>
        <sz val="11"/>
        <color theme="1"/>
        <rFont val="Calibri"/>
        <family val="2"/>
        <scheme val="minor"/>
      </rPr>
      <t>spinus/viridifucatus</t>
    </r>
    <r>
      <rPr>
        <i/>
        <sz val="11"/>
        <color theme="1"/>
        <rFont val="Calibri"/>
        <family val="2"/>
        <scheme val="minor"/>
      </rPr>
      <t>/xanthopleura</t>
    </r>
  </si>
  <si>
    <t>Hipposcarus harid/longiceps</t>
  </si>
  <si>
    <t>Scarus prasiognathos/falcipinnis</t>
  </si>
  <si>
    <r>
      <t>Cetoscarus</t>
    </r>
    <r>
      <rPr>
        <i/>
        <u/>
        <sz val="11"/>
        <color theme="1"/>
        <rFont val="Calibri"/>
        <family val="2"/>
        <scheme val="minor"/>
      </rPr>
      <t xml:space="preserve"> bicolor</t>
    </r>
    <r>
      <rPr>
        <i/>
        <sz val="11"/>
        <color theme="1"/>
        <rFont val="Calibri"/>
        <family val="2"/>
        <scheme val="minor"/>
      </rPr>
      <t>/ocellatus</t>
    </r>
  </si>
  <si>
    <r>
      <t xml:space="preserve">Chlorurus </t>
    </r>
    <r>
      <rPr>
        <i/>
        <u/>
        <sz val="11"/>
        <color theme="1"/>
        <rFont val="Calibri"/>
        <family val="2"/>
        <scheme val="minor"/>
      </rPr>
      <t>sordidus/spilurus</t>
    </r>
    <r>
      <rPr>
        <i/>
        <sz val="11"/>
        <color theme="1"/>
        <rFont val="Calibri"/>
        <family val="2"/>
        <scheme val="minor"/>
      </rPr>
      <t>/bleekeri</t>
    </r>
  </si>
  <si>
    <t>Chlorurus atrilunula/capistratoides/japanensis</t>
  </si>
  <si>
    <r>
      <t xml:space="preserve">substituted with </t>
    </r>
    <r>
      <rPr>
        <i/>
        <sz val="11"/>
        <color theme="1"/>
        <rFont val="Calibri"/>
        <family val="2"/>
        <scheme val="minor"/>
      </rPr>
      <t>C. sordidus</t>
    </r>
    <r>
      <rPr>
        <sz val="11"/>
        <color theme="1"/>
        <rFont val="Calibri"/>
        <family val="2"/>
        <scheme val="minor"/>
      </rPr>
      <t xml:space="preserve"> (closest relative)</t>
    </r>
  </si>
  <si>
    <r>
      <t>Scarus</t>
    </r>
    <r>
      <rPr>
        <i/>
        <u/>
        <sz val="11"/>
        <color theme="1"/>
        <rFont val="Calibri"/>
        <family val="2"/>
        <scheme val="minor"/>
      </rPr>
      <t xml:space="preserve"> schlegeli/flavipectoralis</t>
    </r>
    <r>
      <rPr>
        <i/>
        <sz val="11"/>
        <color theme="1"/>
        <rFont val="Calibri"/>
        <family val="2"/>
        <scheme val="minor"/>
      </rPr>
      <t>/fuscopurpureus/russelii</t>
    </r>
  </si>
  <si>
    <r>
      <t xml:space="preserve">Scarus </t>
    </r>
    <r>
      <rPr>
        <i/>
        <u/>
        <sz val="11"/>
        <color theme="1"/>
        <rFont val="Calibri"/>
        <family val="2"/>
        <scheme val="minor"/>
      </rPr>
      <t>globiceps/rivulatus</t>
    </r>
    <r>
      <rPr>
        <i/>
        <sz val="11"/>
        <color theme="1"/>
        <rFont val="Calibri"/>
        <family val="2"/>
        <scheme val="minor"/>
      </rPr>
      <t>/chameleon/festivus</t>
    </r>
  </si>
  <si>
    <r>
      <rPr>
        <sz val="11"/>
        <color theme="1"/>
        <rFont val="Calibri"/>
        <family val="2"/>
        <scheme val="minor"/>
      </rPr>
      <t xml:space="preserve">substituted with </t>
    </r>
    <r>
      <rPr>
        <i/>
        <sz val="11"/>
        <color theme="1"/>
        <rFont val="Calibri"/>
        <family val="2"/>
        <scheme val="minor"/>
      </rPr>
      <t xml:space="preserve">S. frenatus </t>
    </r>
    <r>
      <rPr>
        <sz val="11"/>
        <color theme="1"/>
        <rFont val="Calibri"/>
        <family val="2"/>
        <scheme val="minor"/>
      </rPr>
      <t>(similar size and bodyshape)</t>
    </r>
  </si>
  <si>
    <r>
      <t xml:space="preserve">substituted with </t>
    </r>
    <r>
      <rPr>
        <i/>
        <sz val="11"/>
        <color theme="1"/>
        <rFont val="Calibri"/>
        <family val="2"/>
        <scheme val="minor"/>
      </rPr>
      <t>S. frenatus</t>
    </r>
    <r>
      <rPr>
        <sz val="11"/>
        <color theme="1"/>
        <rFont val="Calibri"/>
        <family val="2"/>
        <scheme val="minor"/>
      </rPr>
      <t xml:space="preserve"> (similar size and bodyshape)</t>
    </r>
  </si>
  <si>
    <t xml:space="preserve">Raw data grouped into size classes. </t>
  </si>
  <si>
    <t>y = 4E-05x^2.3241, R² = 0.8317</t>
  </si>
  <si>
    <t>y = 5E-05x^2.2923, R² = 0.7348</t>
  </si>
  <si>
    <t>y = 0.0006e^0.0865x, R² = 0.4492</t>
  </si>
  <si>
    <r>
      <t xml:space="preserve">best fit trendline from all data points. Volumes were calculated from area scraped and multiplied with 1.5 mm bite depth for </t>
    </r>
    <r>
      <rPr>
        <i/>
        <sz val="11"/>
        <color theme="1"/>
        <rFont val="Calibri"/>
        <family val="2"/>
        <scheme val="minor"/>
      </rPr>
      <t>C. bicolor</t>
    </r>
    <r>
      <rPr>
        <sz val="11"/>
        <color theme="1"/>
        <rFont val="Calibri"/>
        <family val="2"/>
        <scheme val="minor"/>
      </rPr>
      <t xml:space="preserve"> and </t>
    </r>
    <r>
      <rPr>
        <i/>
        <sz val="11"/>
        <color theme="1"/>
        <rFont val="Calibri"/>
        <family val="2"/>
        <scheme val="minor"/>
      </rPr>
      <t>C. microrhinos</t>
    </r>
    <r>
      <rPr>
        <sz val="11"/>
        <color theme="1"/>
        <rFont val="Calibri"/>
        <family val="2"/>
        <scheme val="minor"/>
      </rPr>
      <t xml:space="preserve"> and 0.1 mm bite depth for C. sordidus (after Bellwood 1995). </t>
    </r>
  </si>
  <si>
    <t>y = 2E-05x^1.5749, R² = 0.3793</t>
  </si>
  <si>
    <t>y = 2E-05x^1.6147, R² = 0.304</t>
  </si>
  <si>
    <t>y = 0.0005e^0.0793x, R² = 0.7816</t>
  </si>
  <si>
    <t>y = 3E-05x^1.6843, R² = 0.4551</t>
  </si>
  <si>
    <r>
      <t>missing size classes substituted with</t>
    </r>
    <r>
      <rPr>
        <i/>
        <sz val="11"/>
        <color theme="1"/>
        <rFont val="Calibri"/>
        <family val="2"/>
        <scheme val="minor"/>
      </rPr>
      <t xml:space="preserve"> S. rubroviolaceus</t>
    </r>
    <r>
      <rPr>
        <sz val="11"/>
        <color theme="1"/>
        <rFont val="Calibri"/>
        <family val="2"/>
        <scheme val="minor"/>
      </rPr>
      <t xml:space="preserve"> (closest relative)</t>
    </r>
  </si>
  <si>
    <t>40-45 cm</t>
  </si>
  <si>
    <t>35-40cm</t>
  </si>
  <si>
    <t>Bonaldo &amp; Bellwood 2009</t>
  </si>
  <si>
    <r>
      <t xml:space="preserve">Chlorurus </t>
    </r>
    <r>
      <rPr>
        <i/>
        <u/>
        <sz val="11"/>
        <color theme="1"/>
        <rFont val="Calibri"/>
        <family val="2"/>
        <scheme val="minor"/>
      </rPr>
      <t>strongylocephalus</t>
    </r>
    <r>
      <rPr>
        <i/>
        <sz val="11"/>
        <color theme="1"/>
        <rFont val="Calibri"/>
        <family val="2"/>
        <scheme val="minor"/>
      </rPr>
      <t>/microrhinos/gibbus</t>
    </r>
  </si>
  <si>
    <r>
      <t xml:space="preserve">Chlorurus </t>
    </r>
    <r>
      <rPr>
        <i/>
        <u/>
        <sz val="11"/>
        <color theme="1"/>
        <rFont val="Calibri"/>
        <family val="2"/>
        <scheme val="minor"/>
      </rPr>
      <t>sordidus</t>
    </r>
    <r>
      <rPr>
        <i/>
        <sz val="11"/>
        <color theme="1"/>
        <rFont val="Calibri"/>
        <family val="2"/>
        <scheme val="minor"/>
      </rPr>
      <t>/spilurus/bleekeri</t>
    </r>
  </si>
  <si>
    <r>
      <t xml:space="preserve">Scarus </t>
    </r>
    <r>
      <rPr>
        <i/>
        <u/>
        <sz val="11"/>
        <color theme="1"/>
        <rFont val="Calibri"/>
        <family val="2"/>
        <scheme val="minor"/>
      </rPr>
      <t>niger</t>
    </r>
    <r>
      <rPr>
        <i/>
        <sz val="11"/>
        <color theme="1"/>
        <rFont val="Calibri"/>
        <family val="2"/>
        <scheme val="minor"/>
      </rPr>
      <t>/altipinnis</t>
    </r>
  </si>
  <si>
    <t>Scarus globiceps/rivulatus/chameleon/festivus</t>
  </si>
  <si>
    <t>Scarus spinus/viridifucatus/xanthopleura</t>
  </si>
  <si>
    <t>Scarus schlegeli/flavipectoralis/fuscopurpureus/russelii</t>
  </si>
  <si>
    <r>
      <rPr>
        <sz val="11"/>
        <color theme="1"/>
        <rFont val="Calibri"/>
        <family val="2"/>
        <scheme val="minor"/>
      </rPr>
      <t xml:space="preserve">substituted with </t>
    </r>
    <r>
      <rPr>
        <i/>
        <sz val="11"/>
        <color theme="1"/>
        <rFont val="Calibri"/>
        <family val="2"/>
        <scheme val="minor"/>
      </rPr>
      <t xml:space="preserve">S. psittacus </t>
    </r>
    <r>
      <rPr>
        <sz val="11"/>
        <color theme="1"/>
        <rFont val="Calibri"/>
        <family val="2"/>
        <scheme val="minor"/>
      </rPr>
      <t>(similar size and bodyshape)</t>
    </r>
  </si>
  <si>
    <r>
      <t>Bonaldo, R. M., &amp; Bellwood, D. R. (2009). Dynamics of parrotfish grazing scars. </t>
    </r>
    <r>
      <rPr>
        <i/>
        <sz val="10"/>
        <color rgb="FF222222"/>
        <rFont val="Arial"/>
        <family val="2"/>
      </rPr>
      <t>Marine Biology</t>
    </r>
    <r>
      <rPr>
        <sz val="10"/>
        <color rgb="FF222222"/>
        <rFont val="Arial"/>
        <family val="2"/>
      </rPr>
      <t>, </t>
    </r>
    <r>
      <rPr>
        <i/>
        <sz val="10"/>
        <color rgb="FF222222"/>
        <rFont val="Arial"/>
        <family val="2"/>
      </rPr>
      <t>156</t>
    </r>
    <r>
      <rPr>
        <sz val="10"/>
        <color rgb="FF222222"/>
        <rFont val="Arial"/>
        <family val="2"/>
      </rPr>
      <t>(4), 771-777.</t>
    </r>
  </si>
  <si>
    <t>Chlorurus sordidus/spilurus/bleekeri</t>
  </si>
  <si>
    <t>Scarus niger/altipinnis</t>
  </si>
  <si>
    <t>Scarus tricolor/forsteni</t>
  </si>
  <si>
    <t>Scarus scaber/oviceps/dimidiatus</t>
  </si>
  <si>
    <t>Chlorurus perspicillatus/enneacanthus/frontalis</t>
  </si>
  <si>
    <t>Parrotfish in Chagos get very big (max 75 cm)</t>
  </si>
  <si>
    <r>
      <t xml:space="preserve">Cetoscarus ocellatus </t>
    </r>
    <r>
      <rPr>
        <sz val="11"/>
        <color theme="1"/>
        <rFont val="Calibri"/>
        <family val="2"/>
        <scheme val="minor"/>
      </rPr>
      <t xml:space="preserve">(as </t>
    </r>
    <r>
      <rPr>
        <i/>
        <sz val="11"/>
        <color theme="1"/>
        <rFont val="Calibri"/>
        <family val="2"/>
        <scheme val="minor"/>
      </rPr>
      <t>bicolor</t>
    </r>
    <r>
      <rPr>
        <sz val="11"/>
        <color theme="1"/>
        <rFont val="Calibri"/>
        <family val="2"/>
        <scheme val="minor"/>
      </rPr>
      <t>)</t>
    </r>
  </si>
  <si>
    <t>y=ax^b</t>
  </si>
  <si>
    <r>
      <t>Hoey, A. S., Feary, D. A., Burt, J. A., Vaughan, G., Pratchett, M. S., &amp; Berumen, M. L. (2016). Regional variation in the structure and function of parrotfishes on Arabian reefs. </t>
    </r>
    <r>
      <rPr>
        <i/>
        <sz val="10"/>
        <color rgb="FF222222"/>
        <rFont val="Arial"/>
        <family val="2"/>
      </rPr>
      <t>Marine pollution bulletin</t>
    </r>
    <r>
      <rPr>
        <sz val="10"/>
        <color rgb="FF222222"/>
        <rFont val="Arial"/>
        <family val="2"/>
      </rPr>
      <t>, 105(2), 524-531.</t>
    </r>
  </si>
  <si>
    <r>
      <t>Robinson, J. P., McDevitt‐Irwin, J. M., Dajka, J. C., Hadj‐Hammou, J., Howlett, S., Graba‐Landry, A., ... &amp; Graham, N. A. (2020). Habitat and fishing control grazing potential on coral reefs. </t>
    </r>
    <r>
      <rPr>
        <i/>
        <sz val="10"/>
        <color theme="1"/>
        <rFont val="Arial"/>
        <family val="2"/>
      </rPr>
      <t>Functional Ecology</t>
    </r>
    <r>
      <rPr>
        <sz val="10"/>
        <color theme="1"/>
        <rFont val="Arial"/>
        <family val="2"/>
      </rPr>
      <t>, 34(1), 240-251.</t>
    </r>
  </si>
  <si>
    <t>Robinson et al. 2020</t>
  </si>
  <si>
    <t>Lange et al. 2020</t>
  </si>
  <si>
    <r>
      <t>Lange, I.D.; Perry, C.T.; Morgan, K.M.; Roche, R.; Benkwitt, C.E.; Graham, N.A (2020). Site-Level Variation in Parrotfish Grazing and Bioerosion as a Function of Species-Specific Feeding Metrics. </t>
    </r>
    <r>
      <rPr>
        <i/>
        <sz val="10"/>
        <color rgb="FF222222"/>
        <rFont val="Arial"/>
        <family val="2"/>
      </rPr>
      <t>Diversity</t>
    </r>
    <r>
      <rPr>
        <sz val="10"/>
        <color rgb="FF222222"/>
        <rFont val="Arial"/>
        <family val="2"/>
      </rPr>
      <t>, 12, 379.</t>
    </r>
  </si>
  <si>
    <t>Indian Ocean species</t>
  </si>
  <si>
    <t>/0.01</t>
  </si>
  <si>
    <t>measured scar depth of 4.86 mm as difference between algal heights not substrate surface. =volume/4.86</t>
  </si>
  <si>
    <t>/0.005</t>
  </si>
  <si>
    <t>Bellwood 1995b</t>
  </si>
  <si>
    <t>Proportion of bites on turf algae</t>
  </si>
  <si>
    <t>measured scar depth of 3.75 mm as difference between algal heights not substrate surface</t>
  </si>
  <si>
    <t>best fit trendline. /100 to convert from mm2 to cm2</t>
  </si>
  <si>
    <t>average between Ch. strongylocephalus and Ch. sordidus as medium sized</t>
  </si>
  <si>
    <t>y=ax^b R2=0.93</t>
  </si>
  <si>
    <t>y=ax^b, R2=0.995</t>
  </si>
  <si>
    <t>Proportion of bites on turf</t>
  </si>
  <si>
    <r>
      <t>Bites on turf min</t>
    </r>
    <r>
      <rPr>
        <b/>
        <vertAlign val="superscript"/>
        <sz val="11"/>
        <color theme="1"/>
        <rFont val="Calibri"/>
        <family val="2"/>
        <scheme val="minor"/>
      </rPr>
      <t>-1</t>
    </r>
  </si>
  <si>
    <r>
      <t>Area grazed per bite (cm</t>
    </r>
    <r>
      <rPr>
        <b/>
        <vertAlign val="superscript"/>
        <sz val="11"/>
        <color theme="1"/>
        <rFont val="Calibri"/>
        <family val="2"/>
        <scheme val="minor"/>
      </rPr>
      <t>2</t>
    </r>
    <r>
      <rPr>
        <b/>
        <sz val="11"/>
        <color theme="1"/>
        <rFont val="Calibri"/>
        <family val="2"/>
        <scheme val="minor"/>
      </rPr>
      <t>)</t>
    </r>
  </si>
  <si>
    <t>Mass sediment reworked per day (kg)</t>
  </si>
  <si>
    <t>reef slope</t>
  </si>
  <si>
    <t>reef crest</t>
  </si>
  <si>
    <t>reef flat</t>
  </si>
  <si>
    <r>
      <t xml:space="preserve">3. Bite areas has been shown to increase with fish size following a power function (Lokrantz et al. 2008). Therefore, original size class data from some studies were used to calculate power functions or exponential functions describing bite area depending on fish size, which could then be used to calculate bite volumes for </t>
    </r>
    <r>
      <rPr>
        <i/>
        <sz val="10"/>
        <color indexed="8"/>
        <rFont val="Arial"/>
        <family val="2"/>
      </rPr>
      <t>ReefBudget</t>
    </r>
    <r>
      <rPr>
        <sz val="10"/>
        <color indexed="8"/>
        <rFont val="Arial"/>
        <family val="2"/>
      </rPr>
      <t xml:space="preserve"> size classes. Formulas are given in the notes section. </t>
    </r>
  </si>
  <si>
    <t>bites on dead coral</t>
  </si>
  <si>
    <t>site A</t>
  </si>
  <si>
    <t>average over reef flat and reef slope</t>
  </si>
  <si>
    <t>average over 3 sites</t>
  </si>
  <si>
    <t>Bonaldo &amp; Bellwood 2008</t>
  </si>
  <si>
    <r>
      <t>Scarus</t>
    </r>
    <r>
      <rPr>
        <i/>
        <u/>
        <sz val="11"/>
        <color theme="1"/>
        <rFont val="Calibri"/>
        <family val="2"/>
        <scheme val="minor"/>
      </rPr>
      <t xml:space="preserve"> ghobban</t>
    </r>
  </si>
  <si>
    <r>
      <t>Area grazed per day (m</t>
    </r>
    <r>
      <rPr>
        <b/>
        <vertAlign val="superscript"/>
        <sz val="11"/>
        <color theme="1"/>
        <rFont val="Calibri"/>
        <family val="2"/>
        <scheme val="minor"/>
      </rPr>
      <t>2</t>
    </r>
    <r>
      <rPr>
        <b/>
        <sz val="11"/>
        <color theme="1"/>
        <rFont val="Calibri"/>
        <family val="2"/>
        <scheme val="minor"/>
      </rPr>
      <t>)</t>
    </r>
  </si>
  <si>
    <t>Yarlett et al. 2020</t>
  </si>
  <si>
    <t>volume</t>
  </si>
  <si>
    <t xml:space="preserve">best fit trendline from all data points (if enough points, see formula) or raw data grouped into size classes. Calculated from volumes / 0.1 mm bite depth (after Bellwood 1995). </t>
  </si>
  <si>
    <t>calculated from volume / 0.05 mm depth</t>
  </si>
  <si>
    <r>
      <t>Turf Sediment load (g m</t>
    </r>
    <r>
      <rPr>
        <b/>
        <vertAlign val="superscript"/>
        <sz val="11"/>
        <color indexed="8"/>
        <rFont val="Calibri"/>
        <family val="2"/>
      </rPr>
      <t>-2</t>
    </r>
    <r>
      <rPr>
        <b/>
        <sz val="11"/>
        <color indexed="8"/>
        <rFont val="Calibri"/>
        <family val="2"/>
      </rPr>
      <t>)</t>
    </r>
  </si>
  <si>
    <r>
      <t>Size class specific sediment reworking rates (kg m</t>
    </r>
    <r>
      <rPr>
        <b/>
        <vertAlign val="superscript"/>
        <sz val="11"/>
        <color theme="1"/>
        <rFont val="Calibri"/>
        <family val="2"/>
        <scheme val="minor"/>
      </rPr>
      <t>-2</t>
    </r>
    <r>
      <rPr>
        <b/>
        <sz val="11"/>
        <color theme="1"/>
        <rFont val="Calibri"/>
        <family val="2"/>
        <scheme val="minor"/>
      </rPr>
      <t xml:space="preserve"> yr</t>
    </r>
    <r>
      <rPr>
        <b/>
        <vertAlign val="superscript"/>
        <sz val="11"/>
        <color theme="1"/>
        <rFont val="Calibri"/>
        <family val="2"/>
        <scheme val="minor"/>
      </rPr>
      <t>-1</t>
    </r>
    <r>
      <rPr>
        <b/>
        <sz val="11"/>
        <color theme="1"/>
        <rFont val="Calibri"/>
        <family val="2"/>
        <scheme val="minor"/>
      </rPr>
      <t>)</t>
    </r>
  </si>
  <si>
    <t>Browser, don’t know bite sizes</t>
  </si>
  <si>
    <t xml:space="preserve">Yarlett thesis </t>
  </si>
  <si>
    <t>NE reef, 100-200 g m-2 sediment load</t>
  </si>
  <si>
    <t>Bardach 1959, 1961</t>
  </si>
  <si>
    <t>Scarus/Sparisoma</t>
  </si>
  <si>
    <t>Bellwood 1996</t>
  </si>
  <si>
    <t>large individuals</t>
  </si>
  <si>
    <t>35 &amp; 20 cm</t>
  </si>
  <si>
    <t>comparison</t>
  </si>
  <si>
    <t>inner GBR</t>
  </si>
  <si>
    <t>mid GBR</t>
  </si>
  <si>
    <t>outer GBR</t>
  </si>
  <si>
    <t>Tebett et al. 2017</t>
  </si>
  <si>
    <t>Gordon et al. 2016</t>
  </si>
  <si>
    <r>
      <t>sediment load turf algae (g m</t>
    </r>
    <r>
      <rPr>
        <b/>
        <vertAlign val="superscript"/>
        <sz val="11"/>
        <color theme="1"/>
        <rFont val="Calibri"/>
        <family val="2"/>
        <scheme val="minor"/>
      </rPr>
      <t>-2</t>
    </r>
    <r>
      <rPr>
        <b/>
        <sz val="11"/>
        <color theme="1"/>
        <rFont val="Calibri"/>
        <family val="2"/>
        <scheme val="minor"/>
      </rPr>
      <t xml:space="preserve">) </t>
    </r>
  </si>
  <si>
    <t>McAndrews et al. 2019</t>
  </si>
  <si>
    <t>Fiji</t>
  </si>
  <si>
    <t>lagoon slope</t>
  </si>
  <si>
    <t>Yarlett PhD thesis</t>
  </si>
  <si>
    <t>east reef</t>
  </si>
  <si>
    <t>west reef</t>
  </si>
  <si>
    <t>Purcell 2000</t>
  </si>
  <si>
    <t>100-200</t>
  </si>
  <si>
    <t>4000-5600</t>
  </si>
  <si>
    <r>
      <t>Bite area (cm</t>
    </r>
    <r>
      <rPr>
        <b/>
        <vertAlign val="superscript"/>
        <sz val="12"/>
        <color theme="1"/>
        <rFont val="Calibri"/>
        <family val="2"/>
        <scheme val="minor"/>
      </rPr>
      <t>2</t>
    </r>
    <r>
      <rPr>
        <b/>
        <sz val="12"/>
        <color theme="1"/>
        <rFont val="Calibri"/>
        <family val="2"/>
        <scheme val="minor"/>
      </rPr>
      <t>)</t>
    </r>
  </si>
  <si>
    <t>Chagos Archipelago</t>
  </si>
  <si>
    <t>1. Juveniles (&lt;10 cm total length) are excluded from sediment reworking calculations</t>
  </si>
  <si>
    <t xml:space="preserve">very high </t>
  </si>
  <si>
    <r>
      <rPr>
        <sz val="11"/>
        <color theme="1"/>
        <rFont val="Calibri"/>
        <family val="2"/>
        <scheme val="minor"/>
      </rPr>
      <t xml:space="preserve">largest size class substituted with </t>
    </r>
    <r>
      <rPr>
        <i/>
        <sz val="11"/>
        <color theme="1"/>
        <rFont val="Calibri"/>
        <family val="2"/>
        <scheme val="minor"/>
      </rPr>
      <t>C. strongylocephalus</t>
    </r>
  </si>
  <si>
    <t>Mass sediment reworked per year (kg)</t>
  </si>
  <si>
    <t>&gt;60 cm</t>
  </si>
  <si>
    <t>61-70cm</t>
  </si>
  <si>
    <t>&gt;60cm</t>
  </si>
  <si>
    <t>65cm</t>
  </si>
  <si>
    <r>
      <t xml:space="preserve">substituted with </t>
    </r>
    <r>
      <rPr>
        <i/>
        <sz val="11"/>
        <color theme="1"/>
        <rFont val="Calibri"/>
        <family val="2"/>
        <scheme val="minor"/>
      </rPr>
      <t>S. frenatus</t>
    </r>
    <r>
      <rPr>
        <sz val="11"/>
        <color theme="1"/>
        <rFont val="Calibri"/>
        <family val="2"/>
        <scheme val="minor"/>
      </rPr>
      <t xml:space="preserve"> (similar size and bodyshape), largest with </t>
    </r>
    <r>
      <rPr>
        <i/>
        <sz val="11"/>
        <color theme="1"/>
        <rFont val="Calibri"/>
        <family val="2"/>
        <scheme val="minor"/>
      </rPr>
      <t>S. rubroviolaceus</t>
    </r>
  </si>
  <si>
    <r>
      <rPr>
        <sz val="11"/>
        <color theme="1"/>
        <rFont val="Calibri"/>
        <family val="2"/>
        <scheme val="minor"/>
      </rPr>
      <t xml:space="preserve">substituted with </t>
    </r>
    <r>
      <rPr>
        <i/>
        <sz val="11"/>
        <color theme="1"/>
        <rFont val="Calibri"/>
        <family val="2"/>
        <scheme val="minor"/>
      </rPr>
      <t xml:space="preserve">S. frenatus </t>
    </r>
  </si>
  <si>
    <r>
      <t xml:space="preserve">larger size classes substituted with </t>
    </r>
    <r>
      <rPr>
        <i/>
        <sz val="11"/>
        <color theme="1"/>
        <rFont val="Calibri"/>
        <family val="2"/>
        <scheme val="minor"/>
      </rPr>
      <t>S. frenatus</t>
    </r>
  </si>
  <si>
    <r>
      <t xml:space="preserve">largest size class substituted with </t>
    </r>
    <r>
      <rPr>
        <i/>
        <sz val="11"/>
        <color theme="1"/>
        <rFont val="Calibri"/>
        <family val="2"/>
        <scheme val="minor"/>
      </rPr>
      <t>S. frenatus</t>
    </r>
  </si>
  <si>
    <t>For references and calculations see 'Bite rates', 'Scar volume' and 'Proportion leaving scars' tabs in this workbook</t>
  </si>
  <si>
    <r>
      <t xml:space="preserve">sister species to </t>
    </r>
    <r>
      <rPr>
        <i/>
        <sz val="11"/>
        <color theme="1"/>
        <rFont val="Calibri"/>
        <family val="2"/>
        <scheme val="minor"/>
      </rPr>
      <t>S. xanthopleura</t>
    </r>
    <r>
      <rPr>
        <sz val="11"/>
        <color theme="1"/>
        <rFont val="Calibri"/>
        <family val="2"/>
        <scheme val="minor"/>
      </rPr>
      <t xml:space="preserve">, larger size classes substituted with </t>
    </r>
    <r>
      <rPr>
        <i/>
        <sz val="11"/>
        <color theme="1"/>
        <rFont val="Calibri"/>
        <family val="2"/>
        <scheme val="minor"/>
      </rPr>
      <t>S. falcipinnis</t>
    </r>
  </si>
  <si>
    <t>7. Species groups in the summary tables are based on clades in Choat et al. 2012 and Bonaldo et al. 2014. Data for the respective groups are provided by the underlined species. Last update: October 2020 (data); Apr 2023 (debug &amp; size &gt;60 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</si>
</sst>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
    <numFmt numFmtId="165" formatCode="0.0"/>
    <numFmt numFmtId="166" formatCode="0.0000"/>
    <numFmt numFmtId="167" formatCode="0.000"/>
  </numFmts>
  <fonts count="38" x14ac:knownFonts="1">
    <font>
      <sz val="11"/>
      <color theme="1"/>
      <name val="Calibri"/>
      <family val="2"/>
      <scheme val="minor"/>
    </font>
    <font>
      <b/>
      <sz val="11"/>
      <color theme="1"/>
      <name val="Calibri"/>
      <family val="2"/>
      <scheme val="minor"/>
    </font>
    <font>
      <b/>
      <sz val="11"/>
      <color indexed="8"/>
      <name val="Calibri"/>
      <family val="2"/>
    </font>
    <font>
      <i/>
      <sz val="11"/>
      <color theme="1"/>
      <name val="Calibri"/>
      <family val="2"/>
      <scheme val="minor"/>
    </font>
    <font>
      <i/>
      <sz val="14"/>
      <color theme="1"/>
      <name val="Calibri"/>
      <family val="2"/>
      <scheme val="minor"/>
    </font>
    <font>
      <sz val="9"/>
      <color theme="1"/>
      <name val="Calibri"/>
      <family val="2"/>
      <scheme val="minor"/>
    </font>
    <font>
      <sz val="11"/>
      <color indexed="8"/>
      <name val="Calibri"/>
      <family val="2"/>
    </font>
    <font>
      <sz val="11"/>
      <color theme="0" tint="-0.249977111117893"/>
      <name val="Calibri"/>
      <family val="2"/>
      <scheme val="minor"/>
    </font>
    <font>
      <sz val="11"/>
      <color theme="0" tint="-0.34998626667073579"/>
      <name val="Calibri"/>
      <family val="2"/>
      <scheme val="minor"/>
    </font>
    <font>
      <sz val="11"/>
      <name val="Calibri"/>
      <family val="2"/>
      <scheme val="minor"/>
    </font>
    <font>
      <b/>
      <sz val="12"/>
      <color theme="1"/>
      <name val="Calibri"/>
      <family val="2"/>
      <scheme val="minor"/>
    </font>
    <font>
      <i/>
      <u/>
      <sz val="11"/>
      <color theme="1"/>
      <name val="Calibri"/>
      <family val="2"/>
      <scheme val="minor"/>
    </font>
    <font>
      <b/>
      <vertAlign val="superscript"/>
      <sz val="12"/>
      <color theme="1"/>
      <name val="Calibri"/>
      <family val="2"/>
      <scheme val="minor"/>
    </font>
    <font>
      <i/>
      <sz val="11"/>
      <color indexed="8"/>
      <name val="Calibri"/>
      <family val="2"/>
    </font>
    <font>
      <sz val="11"/>
      <color rgb="FFFF0000"/>
      <name val="Calibri"/>
      <family val="2"/>
    </font>
    <font>
      <sz val="11"/>
      <name val="Calibri"/>
      <family val="2"/>
    </font>
    <font>
      <sz val="10"/>
      <color indexed="8"/>
      <name val="Calibri"/>
      <family val="2"/>
    </font>
    <font>
      <i/>
      <sz val="11"/>
      <name val="Calibri"/>
      <family val="2"/>
    </font>
    <font>
      <b/>
      <vertAlign val="superscript"/>
      <sz val="11"/>
      <color indexed="8"/>
      <name val="Calibri"/>
      <family val="2"/>
    </font>
    <font>
      <b/>
      <vertAlign val="superscript"/>
      <sz val="11"/>
      <color theme="1"/>
      <name val="Calibri"/>
      <family val="2"/>
      <scheme val="minor"/>
    </font>
    <font>
      <i/>
      <sz val="9"/>
      <color theme="1"/>
      <name val="Calibri"/>
      <family val="2"/>
      <scheme val="minor"/>
    </font>
    <font>
      <b/>
      <sz val="11"/>
      <name val="Calibri"/>
      <family val="2"/>
      <scheme val="minor"/>
    </font>
    <font>
      <i/>
      <sz val="11"/>
      <name val="Calibri"/>
      <family val="2"/>
      <scheme val="minor"/>
    </font>
    <font>
      <sz val="11"/>
      <color theme="1"/>
      <name val="Arial"/>
      <family val="2"/>
    </font>
    <font>
      <vertAlign val="superscript"/>
      <sz val="11"/>
      <color theme="1"/>
      <name val="Arial"/>
      <family val="2"/>
    </font>
    <font>
      <sz val="11"/>
      <color rgb="FF000000"/>
      <name val="Arial"/>
      <family val="2"/>
    </font>
    <font>
      <b/>
      <sz val="10"/>
      <color theme="1"/>
      <name val="Arial"/>
      <family val="2"/>
    </font>
    <font>
      <sz val="10"/>
      <color indexed="8"/>
      <name val="Arial"/>
      <family val="2"/>
    </font>
    <font>
      <i/>
      <sz val="10"/>
      <color indexed="8"/>
      <name val="Arial"/>
      <family val="2"/>
    </font>
    <font>
      <sz val="10"/>
      <color theme="1"/>
      <name val="Arial"/>
      <family val="2"/>
    </font>
    <font>
      <sz val="10"/>
      <color rgb="FF222222"/>
      <name val="Arial"/>
      <family val="2"/>
    </font>
    <font>
      <i/>
      <sz val="10"/>
      <color rgb="FF222222"/>
      <name val="Arial"/>
      <family val="2"/>
    </font>
    <font>
      <sz val="11"/>
      <color theme="0" tint="-0.249977111117893"/>
      <name val="Calibri"/>
      <family val="2"/>
    </font>
    <font>
      <sz val="11"/>
      <color rgb="FF595959"/>
      <name val="Calibri"/>
      <family val="2"/>
      <scheme val="minor"/>
    </font>
    <font>
      <sz val="7"/>
      <color rgb="FF222222"/>
      <name val="Arial"/>
      <family val="2"/>
    </font>
    <font>
      <sz val="11"/>
      <color rgb="FFFF0000"/>
      <name val="Calibri"/>
      <family val="2"/>
      <scheme val="minor"/>
    </font>
    <font>
      <i/>
      <sz val="10"/>
      <color theme="1"/>
      <name val="Arial"/>
      <family val="2"/>
    </font>
    <font>
      <sz val="11"/>
      <color theme="0" tint="-0.34998626667073579"/>
      <name val="Calibri"/>
      <family val="2"/>
    </font>
  </fonts>
  <fills count="8">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rgb="FFFF0000"/>
        <bgColor indexed="64"/>
      </patternFill>
    </fill>
  </fills>
  <borders count="45">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right style="hair">
        <color indexed="64"/>
      </right>
      <top style="medium">
        <color indexed="64"/>
      </top>
      <bottom/>
      <diagonal/>
    </border>
    <border>
      <left/>
      <right style="hair">
        <color indexed="64"/>
      </right>
      <top/>
      <bottom/>
      <diagonal/>
    </border>
    <border>
      <left style="hair">
        <color indexed="64"/>
      </left>
      <right/>
      <top style="medium">
        <color indexed="64"/>
      </top>
      <bottom/>
      <diagonal/>
    </border>
  </borders>
  <cellStyleXfs count="1">
    <xf numFmtId="0" fontId="0" fillId="0" borderId="0"/>
  </cellStyleXfs>
  <cellXfs count="371">
    <xf numFmtId="0" fontId="0" fillId="0" borderId="0" xfId="0"/>
    <xf numFmtId="0" fontId="2" fillId="2" borderId="0" xfId="0" applyFont="1" applyFill="1" applyAlignment="1">
      <alignment horizontal="center"/>
    </xf>
    <xf numFmtId="0" fontId="3" fillId="0" borderId="0" xfId="0" applyFont="1"/>
    <xf numFmtId="0" fontId="2" fillId="0" borderId="0" xfId="0" applyFont="1" applyAlignment="1">
      <alignment horizontal="center"/>
    </xf>
    <xf numFmtId="2" fontId="0" fillId="0" borderId="0" xfId="0" applyNumberFormat="1"/>
    <xf numFmtId="0" fontId="0" fillId="0" borderId="2" xfId="0" applyBorder="1"/>
    <xf numFmtId="0" fontId="3" fillId="0" borderId="3" xfId="0" applyFont="1" applyBorder="1"/>
    <xf numFmtId="2" fontId="0" fillId="0" borderId="5" xfId="0" applyNumberFormat="1" applyBorder="1"/>
    <xf numFmtId="2" fontId="0" fillId="0" borderId="6" xfId="0" applyNumberFormat="1" applyBorder="1"/>
    <xf numFmtId="2" fontId="0" fillId="0" borderId="3" xfId="0" applyNumberFormat="1" applyBorder="1"/>
    <xf numFmtId="2" fontId="0" fillId="0" borderId="1" xfId="0" applyNumberFormat="1" applyBorder="1"/>
    <xf numFmtId="0" fontId="0" fillId="0" borderId="7" xfId="0" applyBorder="1"/>
    <xf numFmtId="2" fontId="0" fillId="0" borderId="8" xfId="0" applyNumberFormat="1" applyBorder="1"/>
    <xf numFmtId="0" fontId="2" fillId="0" borderId="1" xfId="0" applyFont="1" applyBorder="1" applyAlignment="1">
      <alignment horizontal="center"/>
    </xf>
    <xf numFmtId="164" fontId="0" fillId="0" borderId="0" xfId="0" applyNumberFormat="1"/>
    <xf numFmtId="164" fontId="0" fillId="0" borderId="5" xfId="0" applyNumberFormat="1" applyBorder="1"/>
    <xf numFmtId="164" fontId="0" fillId="0" borderId="6" xfId="0" applyNumberFormat="1" applyBorder="1"/>
    <xf numFmtId="164" fontId="0" fillId="0" borderId="8" xfId="0" applyNumberFormat="1" applyBorder="1"/>
    <xf numFmtId="164" fontId="0" fillId="0" borderId="3" xfId="0" applyNumberFormat="1" applyBorder="1"/>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6" fillId="0" borderId="0" xfId="0" applyFont="1" applyAlignment="1">
      <alignment horizontal="center"/>
    </xf>
    <xf numFmtId="0" fontId="0" fillId="2" borderId="0" xfId="0" applyFill="1"/>
    <xf numFmtId="1" fontId="0" fillId="0" borderId="0" xfId="0" applyNumberFormat="1"/>
    <xf numFmtId="2" fontId="6" fillId="0" borderId="0" xfId="0" applyNumberFormat="1" applyFont="1" applyAlignment="1">
      <alignment horizontal="left"/>
    </xf>
    <xf numFmtId="2" fontId="0" fillId="5" borderId="3" xfId="0" applyNumberFormat="1" applyFill="1" applyBorder="1"/>
    <xf numFmtId="2" fontId="0" fillId="5" borderId="1" xfId="0" applyNumberFormat="1" applyFill="1" applyBorder="1"/>
    <xf numFmtId="2" fontId="0" fillId="5" borderId="0" xfId="0" applyNumberFormat="1" applyFill="1"/>
    <xf numFmtId="2" fontId="0" fillId="5" borderId="8" xfId="0" applyNumberFormat="1" applyFill="1" applyBorder="1"/>
    <xf numFmtId="0" fontId="6" fillId="0" borderId="0" xfId="0" applyFont="1" applyAlignment="1">
      <alignment horizontal="left"/>
    </xf>
    <xf numFmtId="0" fontId="0" fillId="0" borderId="8" xfId="0" applyBorder="1"/>
    <xf numFmtId="0" fontId="0" fillId="0" borderId="0" xfId="0" applyAlignment="1">
      <alignment horizontal="center" wrapText="1"/>
    </xf>
    <xf numFmtId="0" fontId="0" fillId="2" borderId="4" xfId="0" applyFill="1" applyBorder="1"/>
    <xf numFmtId="0" fontId="0" fillId="2" borderId="5" xfId="0" applyFill="1" applyBorder="1"/>
    <xf numFmtId="0" fontId="2" fillId="2" borderId="5" xfId="0" applyFont="1" applyFill="1" applyBorder="1" applyAlignment="1">
      <alignment horizontal="center"/>
    </xf>
    <xf numFmtId="2" fontId="8" fillId="5" borderId="8" xfId="0" applyNumberFormat="1" applyFont="1" applyFill="1" applyBorder="1"/>
    <xf numFmtId="2" fontId="7" fillId="0" borderId="0" xfId="0" applyNumberFormat="1" applyFont="1"/>
    <xf numFmtId="0" fontId="5" fillId="0" borderId="7" xfId="0" applyFont="1" applyBorder="1"/>
    <xf numFmtId="0" fontId="0" fillId="2" borderId="7" xfId="0" applyFill="1" applyBorder="1"/>
    <xf numFmtId="0" fontId="2" fillId="2" borderId="8" xfId="0" applyFont="1" applyFill="1" applyBorder="1" applyAlignment="1">
      <alignment horizontal="center"/>
    </xf>
    <xf numFmtId="2" fontId="7" fillId="5" borderId="0" xfId="0" applyNumberFormat="1" applyFont="1" applyFill="1"/>
    <xf numFmtId="0" fontId="0" fillId="5" borderId="0" xfId="0" applyFill="1"/>
    <xf numFmtId="0" fontId="0" fillId="2" borderId="8" xfId="0" applyFill="1" applyBorder="1"/>
    <xf numFmtId="0" fontId="0" fillId="5" borderId="8" xfId="0" applyFill="1" applyBorder="1"/>
    <xf numFmtId="2" fontId="1" fillId="2" borderId="0" xfId="0" applyNumberFormat="1" applyFont="1" applyFill="1" applyAlignment="1">
      <alignment horizontal="center"/>
    </xf>
    <xf numFmtId="2" fontId="7" fillId="0" borderId="8" xfId="0" applyNumberFormat="1" applyFont="1" applyBorder="1"/>
    <xf numFmtId="2" fontId="8" fillId="0" borderId="0" xfId="0" applyNumberFormat="1" applyFont="1"/>
    <xf numFmtId="2" fontId="8" fillId="5" borderId="0" xfId="0" applyNumberFormat="1" applyFont="1" applyFill="1"/>
    <xf numFmtId="2" fontId="8" fillId="0" borderId="8" xfId="0" applyNumberFormat="1" applyFont="1" applyBorder="1"/>
    <xf numFmtId="0" fontId="8" fillId="0" borderId="0" xfId="0" applyFont="1"/>
    <xf numFmtId="0" fontId="8" fillId="2" borderId="0" xfId="0" applyFont="1" applyFill="1"/>
    <xf numFmtId="2" fontId="0" fillId="2" borderId="0" xfId="0" applyNumberFormat="1" applyFill="1"/>
    <xf numFmtId="0" fontId="0" fillId="4" borderId="4" xfId="0" applyFill="1" applyBorder="1"/>
    <xf numFmtId="0" fontId="3" fillId="3" borderId="5" xfId="0" applyFont="1" applyFill="1" applyBorder="1"/>
    <xf numFmtId="0" fontId="0" fillId="3" borderId="7" xfId="0" applyFill="1" applyBorder="1"/>
    <xf numFmtId="0" fontId="3" fillId="3" borderId="0" xfId="0" applyFont="1" applyFill="1"/>
    <xf numFmtId="0" fontId="0" fillId="3" borderId="2" xfId="0" applyFill="1" applyBorder="1"/>
    <xf numFmtId="0" fontId="3" fillId="3" borderId="3" xfId="0" applyFont="1" applyFill="1" applyBorder="1"/>
    <xf numFmtId="0" fontId="1" fillId="3" borderId="7" xfId="0" applyFont="1" applyFill="1" applyBorder="1"/>
    <xf numFmtId="2" fontId="9" fillId="0" borderId="0" xfId="0" applyNumberFormat="1" applyFont="1"/>
    <xf numFmtId="2" fontId="1" fillId="2" borderId="8" xfId="0" applyNumberFormat="1" applyFont="1" applyFill="1" applyBorder="1" applyAlignment="1">
      <alignment horizontal="center"/>
    </xf>
    <xf numFmtId="0" fontId="1" fillId="3" borderId="9" xfId="0" applyFont="1" applyFill="1" applyBorder="1"/>
    <xf numFmtId="0" fontId="9" fillId="2" borderId="0" xfId="0" applyFont="1" applyFill="1"/>
    <xf numFmtId="0" fontId="1" fillId="0" borderId="0" xfId="0" applyFont="1" applyAlignment="1">
      <alignment wrapText="1"/>
    </xf>
    <xf numFmtId="0" fontId="1" fillId="0" borderId="0" xfId="0" applyFont="1"/>
    <xf numFmtId="0" fontId="0" fillId="0" borderId="0" xfId="0" applyAlignment="1">
      <alignment wrapText="1"/>
    </xf>
    <xf numFmtId="0" fontId="10" fillId="0" borderId="0" xfId="0" applyFont="1" applyAlignment="1">
      <alignment horizontal="center" vertical="center"/>
    </xf>
    <xf numFmtId="0" fontId="1" fillId="0" borderId="10" xfId="0" applyFont="1" applyBorder="1"/>
    <xf numFmtId="0" fontId="1" fillId="0" borderId="11" xfId="0" applyFont="1" applyBorder="1"/>
    <xf numFmtId="166" fontId="0" fillId="5" borderId="0" xfId="0" applyNumberFormat="1" applyFill="1"/>
    <xf numFmtId="164" fontId="0" fillId="5" borderId="0" xfId="0" applyNumberFormat="1" applyFill="1"/>
    <xf numFmtId="164" fontId="7" fillId="0" borderId="0" xfId="0" applyNumberFormat="1" applyFont="1"/>
    <xf numFmtId="164" fontId="0" fillId="5" borderId="8" xfId="0" applyNumberFormat="1" applyFill="1" applyBorder="1"/>
    <xf numFmtId="164" fontId="9" fillId="0" borderId="0" xfId="0" applyNumberFormat="1" applyFont="1"/>
    <xf numFmtId="164" fontId="8" fillId="0" borderId="0" xfId="0" applyNumberFormat="1" applyFont="1"/>
    <xf numFmtId="2" fontId="0" fillId="0" borderId="0" xfId="0" applyNumberFormat="1" applyAlignment="1">
      <alignment wrapText="1"/>
    </xf>
    <xf numFmtId="0" fontId="6" fillId="0" borderId="0" xfId="0" applyFont="1" applyAlignment="1">
      <alignment wrapText="1"/>
    </xf>
    <xf numFmtId="0" fontId="1" fillId="2" borderId="0" xfId="0" applyFont="1" applyFill="1" applyAlignment="1">
      <alignment horizontal="center"/>
    </xf>
    <xf numFmtId="0" fontId="1" fillId="2" borderId="8" xfId="0" applyFont="1" applyFill="1" applyBorder="1" applyAlignment="1">
      <alignment horizontal="center"/>
    </xf>
    <xf numFmtId="164" fontId="8" fillId="0" borderId="8" xfId="0" applyNumberFormat="1" applyFont="1" applyBorder="1"/>
    <xf numFmtId="2" fontId="0" fillId="0" borderId="0" xfId="0" applyNumberFormat="1" applyAlignment="1">
      <alignment horizontal="center"/>
    </xf>
    <xf numFmtId="2" fontId="6" fillId="0" borderId="0" xfId="0" applyNumberFormat="1" applyFont="1" applyAlignment="1">
      <alignment horizontal="center"/>
    </xf>
    <xf numFmtId="2" fontId="14" fillId="0" borderId="0" xfId="0" applyNumberFormat="1" applyFont="1" applyAlignment="1">
      <alignment horizontal="center"/>
    </xf>
    <xf numFmtId="2" fontId="15" fillId="0" borderId="0" xfId="0" applyNumberFormat="1" applyFont="1" applyAlignment="1">
      <alignment horizontal="center"/>
    </xf>
    <xf numFmtId="0" fontId="0" fillId="2" borderId="0" xfId="0" applyFill="1" applyAlignment="1">
      <alignment horizontal="center"/>
    </xf>
    <xf numFmtId="0" fontId="0" fillId="0" borderId="0" xfId="0" applyAlignment="1">
      <alignment horizontal="left"/>
    </xf>
    <xf numFmtId="0" fontId="1" fillId="2" borderId="5" xfId="0" applyFont="1" applyFill="1" applyBorder="1" applyAlignment="1">
      <alignment horizontal="center"/>
    </xf>
    <xf numFmtId="0" fontId="1" fillId="2" borderId="6" xfId="0" applyFont="1" applyFill="1" applyBorder="1" applyAlignment="1">
      <alignment horizontal="center"/>
    </xf>
    <xf numFmtId="0" fontId="0" fillId="2" borderId="19" xfId="0" applyFill="1" applyBorder="1"/>
    <xf numFmtId="0" fontId="0" fillId="2" borderId="20" xfId="0" applyFill="1" applyBorder="1"/>
    <xf numFmtId="0" fontId="0" fillId="2" borderId="21" xfId="0" applyFill="1" applyBorder="1"/>
    <xf numFmtId="0" fontId="0" fillId="2" borderId="22" xfId="0" applyFill="1" applyBorder="1"/>
    <xf numFmtId="0" fontId="0" fillId="2" borderId="14" xfId="0" applyFill="1" applyBorder="1"/>
    <xf numFmtId="0" fontId="16" fillId="2" borderId="26" xfId="0" applyFont="1" applyFill="1" applyBorder="1"/>
    <xf numFmtId="0" fontId="1" fillId="2" borderId="31" xfId="0" applyFont="1" applyFill="1" applyBorder="1"/>
    <xf numFmtId="0" fontId="2" fillId="2" borderId="9" xfId="0" applyFont="1" applyFill="1" applyBorder="1" applyAlignment="1">
      <alignment horizontal="center"/>
    </xf>
    <xf numFmtId="0" fontId="2" fillId="2" borderId="32" xfId="0" applyFont="1" applyFill="1" applyBorder="1" applyAlignment="1">
      <alignment horizontal="center"/>
    </xf>
    <xf numFmtId="0" fontId="13" fillId="0" borderId="17" xfId="0" applyFont="1" applyBorder="1"/>
    <xf numFmtId="0" fontId="17" fillId="0" borderId="17" xfId="0" applyFont="1" applyBorder="1"/>
    <xf numFmtId="0" fontId="13" fillId="0" borderId="17" xfId="0" applyFont="1" applyBorder="1" applyAlignment="1">
      <alignment horizontal="left"/>
    </xf>
    <xf numFmtId="0" fontId="13" fillId="0" borderId="18" xfId="0" applyFont="1" applyBorder="1" applyAlignment="1">
      <alignment horizontal="left"/>
    </xf>
    <xf numFmtId="0" fontId="2" fillId="2" borderId="11" xfId="0" applyFont="1" applyFill="1" applyBorder="1" applyAlignment="1">
      <alignment horizontal="center"/>
    </xf>
    <xf numFmtId="0" fontId="2" fillId="2" borderId="12" xfId="0" applyFont="1" applyFill="1" applyBorder="1" applyAlignment="1">
      <alignment horizontal="center"/>
    </xf>
    <xf numFmtId="0" fontId="2" fillId="2" borderId="3" xfId="0" applyFont="1" applyFill="1" applyBorder="1" applyAlignment="1">
      <alignment horizontal="center"/>
    </xf>
    <xf numFmtId="0" fontId="2" fillId="2" borderId="35" xfId="0" applyFont="1" applyFill="1" applyBorder="1" applyAlignment="1">
      <alignment horizontal="center"/>
    </xf>
    <xf numFmtId="0" fontId="1" fillId="2" borderId="22" xfId="0" applyFont="1" applyFill="1" applyBorder="1"/>
    <xf numFmtId="2" fontId="0" fillId="0" borderId="13" xfId="0" applyNumberFormat="1" applyBorder="1"/>
    <xf numFmtId="2" fontId="0" fillId="0" borderId="14" xfId="0" applyNumberFormat="1" applyBorder="1"/>
    <xf numFmtId="2" fontId="0" fillId="5" borderId="14" xfId="0" applyNumberFormat="1" applyFill="1" applyBorder="1"/>
    <xf numFmtId="0" fontId="1" fillId="2" borderId="0" xfId="0" applyFont="1" applyFill="1"/>
    <xf numFmtId="2" fontId="0" fillId="0" borderId="35" xfId="0" applyNumberFormat="1" applyBorder="1"/>
    <xf numFmtId="0" fontId="2" fillId="2" borderId="0" xfId="0" applyFont="1" applyFill="1"/>
    <xf numFmtId="49" fontId="2" fillId="2" borderId="0" xfId="0" applyNumberFormat="1" applyFont="1" applyFill="1" applyAlignment="1">
      <alignment horizontal="center"/>
    </xf>
    <xf numFmtId="0" fontId="2" fillId="2" borderId="14" xfId="0" applyFont="1" applyFill="1" applyBorder="1" applyAlignment="1">
      <alignment horizontal="center"/>
    </xf>
    <xf numFmtId="0" fontId="2" fillId="0" borderId="0" xfId="0" applyFont="1"/>
    <xf numFmtId="49" fontId="2" fillId="0" borderId="0" xfId="0" applyNumberFormat="1" applyFont="1" applyAlignment="1">
      <alignment horizontal="center"/>
    </xf>
    <xf numFmtId="2" fontId="0" fillId="2" borderId="0" xfId="0" applyNumberFormat="1" applyFill="1" applyAlignment="1">
      <alignment horizontal="center"/>
    </xf>
    <xf numFmtId="0" fontId="6" fillId="2" borderId="0" xfId="0" applyFont="1" applyFill="1" applyAlignment="1">
      <alignment horizontal="center"/>
    </xf>
    <xf numFmtId="0" fontId="6" fillId="2" borderId="14" xfId="0" applyFont="1" applyFill="1" applyBorder="1" applyAlignment="1">
      <alignment horizontal="center"/>
    </xf>
    <xf numFmtId="2" fontId="6" fillId="2" borderId="0" xfId="0" applyNumberFormat="1" applyFont="1" applyFill="1" applyAlignment="1">
      <alignment horizontal="center"/>
    </xf>
    <xf numFmtId="0" fontId="0" fillId="2" borderId="14" xfId="0" applyFill="1" applyBorder="1" applyAlignment="1">
      <alignment horizontal="center"/>
    </xf>
    <xf numFmtId="0" fontId="0" fillId="0" borderId="0" xfId="0" applyAlignment="1">
      <alignment horizontal="center"/>
    </xf>
    <xf numFmtId="165" fontId="0" fillId="0" borderId="21" xfId="0" applyNumberFormat="1" applyBorder="1"/>
    <xf numFmtId="2" fontId="0" fillId="0" borderId="15" xfId="0" applyNumberFormat="1" applyBorder="1"/>
    <xf numFmtId="2" fontId="0" fillId="5" borderId="15" xfId="0" applyNumberFormat="1" applyFill="1" applyBorder="1"/>
    <xf numFmtId="2" fontId="0" fillId="5" borderId="16" xfId="0" applyNumberFormat="1" applyFill="1" applyBorder="1"/>
    <xf numFmtId="0" fontId="0" fillId="0" borderId="16" xfId="0" applyBorder="1"/>
    <xf numFmtId="0" fontId="2" fillId="6" borderId="36" xfId="0" applyFont="1" applyFill="1" applyBorder="1"/>
    <xf numFmtId="0" fontId="2" fillId="2" borderId="15" xfId="0" applyFont="1" applyFill="1" applyBorder="1" applyAlignment="1">
      <alignment horizontal="center"/>
    </xf>
    <xf numFmtId="0" fontId="2" fillId="2" borderId="10" xfId="0" applyFont="1" applyFill="1" applyBorder="1" applyAlignment="1">
      <alignment horizontal="center"/>
    </xf>
    <xf numFmtId="0" fontId="3" fillId="2" borderId="40" xfId="0" applyFont="1" applyFill="1" applyBorder="1"/>
    <xf numFmtId="2" fontId="0" fillId="0" borderId="4" xfId="0" applyNumberFormat="1" applyBorder="1"/>
    <xf numFmtId="0" fontId="3" fillId="2" borderId="5" xfId="0" applyFont="1" applyFill="1" applyBorder="1"/>
    <xf numFmtId="0" fontId="3" fillId="2" borderId="22" xfId="0" applyFont="1" applyFill="1" applyBorder="1"/>
    <xf numFmtId="2" fontId="0" fillId="0" borderId="7" xfId="0" applyNumberFormat="1" applyBorder="1"/>
    <xf numFmtId="0" fontId="3" fillId="2" borderId="0" xfId="0" applyFont="1" applyFill="1"/>
    <xf numFmtId="0" fontId="3" fillId="2" borderId="39" xfId="0" applyFont="1" applyFill="1" applyBorder="1"/>
    <xf numFmtId="2" fontId="0" fillId="0" borderId="2" xfId="0" applyNumberFormat="1" applyBorder="1"/>
    <xf numFmtId="0" fontId="3" fillId="2" borderId="33" xfId="0" applyFont="1" applyFill="1" applyBorder="1"/>
    <xf numFmtId="2" fontId="0" fillId="0" borderId="41" xfId="0" applyNumberFormat="1" applyBorder="1"/>
    <xf numFmtId="0" fontId="3" fillId="2" borderId="15" xfId="0" applyFont="1" applyFill="1" applyBorder="1"/>
    <xf numFmtId="0" fontId="5" fillId="2" borderId="20" xfId="0" applyFont="1" applyFill="1" applyBorder="1"/>
    <xf numFmtId="0" fontId="5" fillId="2" borderId="42" xfId="0" applyFont="1" applyFill="1" applyBorder="1"/>
    <xf numFmtId="0" fontId="5" fillId="2" borderId="21" xfId="0" applyFont="1" applyFill="1" applyBorder="1"/>
    <xf numFmtId="0" fontId="5" fillId="2" borderId="0" xfId="0" applyFont="1" applyFill="1"/>
    <xf numFmtId="0" fontId="5" fillId="2" borderId="43" xfId="0" applyFont="1" applyFill="1" applyBorder="1"/>
    <xf numFmtId="0" fontId="5" fillId="2" borderId="14" xfId="0" applyFont="1" applyFill="1" applyBorder="1"/>
    <xf numFmtId="164" fontId="0" fillId="0" borderId="15" xfId="0" applyNumberFormat="1" applyBorder="1"/>
    <xf numFmtId="164" fontId="0" fillId="5" borderId="15" xfId="0" applyNumberFormat="1" applyFill="1" applyBorder="1"/>
    <xf numFmtId="0" fontId="0" fillId="2" borderId="43" xfId="0" applyFill="1" applyBorder="1"/>
    <xf numFmtId="166" fontId="0" fillId="5" borderId="15" xfId="0" applyNumberFormat="1" applyFill="1" applyBorder="1"/>
    <xf numFmtId="0" fontId="0" fillId="2" borderId="33" xfId="0" applyFill="1" applyBorder="1"/>
    <xf numFmtId="0" fontId="0" fillId="2" borderId="15" xfId="0" applyFill="1" applyBorder="1"/>
    <xf numFmtId="0" fontId="0" fillId="2" borderId="16" xfId="0" applyFill="1" applyBorder="1"/>
    <xf numFmtId="2" fontId="0" fillId="3" borderId="4" xfId="0" applyNumberFormat="1" applyFill="1" applyBorder="1"/>
    <xf numFmtId="2" fontId="0" fillId="3" borderId="5" xfId="0" applyNumberFormat="1" applyFill="1" applyBorder="1"/>
    <xf numFmtId="2" fontId="0" fillId="3" borderId="13" xfId="0" applyNumberFormat="1" applyFill="1" applyBorder="1"/>
    <xf numFmtId="2" fontId="0" fillId="3" borderId="7" xfId="0" applyNumberFormat="1" applyFill="1" applyBorder="1"/>
    <xf numFmtId="2" fontId="0" fillId="3" borderId="0" xfId="0" applyNumberFormat="1" applyFill="1"/>
    <xf numFmtId="2" fontId="0" fillId="3" borderId="14" xfId="0" applyNumberFormat="1" applyFill="1" applyBorder="1"/>
    <xf numFmtId="2" fontId="0" fillId="3" borderId="2" xfId="0" applyNumberFormat="1" applyFill="1" applyBorder="1"/>
    <xf numFmtId="2" fontId="0" fillId="3" borderId="3" xfId="0" applyNumberFormat="1" applyFill="1" applyBorder="1"/>
    <xf numFmtId="2" fontId="0" fillId="3" borderId="35" xfId="0" applyNumberFormat="1" applyFill="1" applyBorder="1"/>
    <xf numFmtId="2" fontId="0" fillId="3" borderId="41" xfId="0" applyNumberFormat="1" applyFill="1" applyBorder="1"/>
    <xf numFmtId="2" fontId="0" fillId="3" borderId="15" xfId="0" applyNumberFormat="1" applyFill="1" applyBorder="1"/>
    <xf numFmtId="166" fontId="0" fillId="3" borderId="5" xfId="0" applyNumberFormat="1" applyFill="1" applyBorder="1"/>
    <xf numFmtId="166" fontId="0" fillId="3" borderId="13" xfId="0" applyNumberFormat="1" applyFill="1" applyBorder="1"/>
    <xf numFmtId="166" fontId="0" fillId="3" borderId="0" xfId="0" applyNumberFormat="1" applyFill="1"/>
    <xf numFmtId="166" fontId="0" fillId="3" borderId="14" xfId="0" applyNumberFormat="1" applyFill="1" applyBorder="1"/>
    <xf numFmtId="166" fontId="0" fillId="5" borderId="14" xfId="0" applyNumberFormat="1" applyFill="1" applyBorder="1"/>
    <xf numFmtId="166" fontId="0" fillId="3" borderId="3" xfId="0" applyNumberFormat="1" applyFill="1" applyBorder="1"/>
    <xf numFmtId="166" fontId="0" fillId="3" borderId="35" xfId="0" applyNumberFormat="1" applyFill="1" applyBorder="1"/>
    <xf numFmtId="166" fontId="0" fillId="3" borderId="15" xfId="0" applyNumberFormat="1" applyFill="1" applyBorder="1"/>
    <xf numFmtId="166" fontId="0" fillId="5" borderId="16" xfId="0" applyNumberFormat="1" applyFill="1" applyBorder="1"/>
    <xf numFmtId="0" fontId="20" fillId="2" borderId="26" xfId="0" applyFont="1" applyFill="1" applyBorder="1"/>
    <xf numFmtId="0" fontId="1" fillId="2" borderId="17" xfId="0" applyFont="1" applyFill="1" applyBorder="1"/>
    <xf numFmtId="2" fontId="9" fillId="2" borderId="0" xfId="0" applyNumberFormat="1" applyFont="1" applyFill="1"/>
    <xf numFmtId="2" fontId="9" fillId="2" borderId="8" xfId="0" applyNumberFormat="1" applyFont="1" applyFill="1" applyBorder="1"/>
    <xf numFmtId="2" fontId="21" fillId="2" borderId="0" xfId="0" applyNumberFormat="1" applyFont="1" applyFill="1" applyAlignment="1">
      <alignment horizontal="center"/>
    </xf>
    <xf numFmtId="2" fontId="21" fillId="2" borderId="8" xfId="0" applyNumberFormat="1" applyFont="1" applyFill="1" applyBorder="1" applyAlignment="1">
      <alignment horizontal="center"/>
    </xf>
    <xf numFmtId="2" fontId="9" fillId="5" borderId="0" xfId="0" applyNumberFormat="1" applyFont="1" applyFill="1"/>
    <xf numFmtId="2" fontId="9" fillId="5" borderId="8" xfId="0" applyNumberFormat="1" applyFont="1" applyFill="1" applyBorder="1"/>
    <xf numFmtId="0" fontId="9" fillId="0" borderId="7" xfId="0" applyFont="1" applyBorder="1"/>
    <xf numFmtId="0" fontId="22" fillId="0" borderId="0" xfId="0" applyFont="1"/>
    <xf numFmtId="2" fontId="9" fillId="0" borderId="8" xfId="0" applyNumberFormat="1" applyFont="1" applyBorder="1"/>
    <xf numFmtId="0" fontId="9" fillId="2" borderId="7" xfId="0" applyFont="1" applyFill="1" applyBorder="1"/>
    <xf numFmtId="166" fontId="0" fillId="2" borderId="0" xfId="0" applyNumberFormat="1" applyFill="1" applyAlignment="1">
      <alignment horizontal="center"/>
    </xf>
    <xf numFmtId="0" fontId="23" fillId="0" borderId="0" xfId="0" applyFont="1" applyAlignment="1">
      <alignment vertical="center"/>
    </xf>
    <xf numFmtId="0" fontId="29" fillId="0" borderId="0" xfId="0" applyFont="1"/>
    <xf numFmtId="0" fontId="30" fillId="0" borderId="0" xfId="0" applyFont="1"/>
    <xf numFmtId="0" fontId="26" fillId="0" borderId="0" xfId="0" applyFont="1"/>
    <xf numFmtId="2" fontId="2" fillId="2" borderId="0" xfId="0" applyNumberFormat="1" applyFont="1" applyFill="1" applyAlignment="1">
      <alignment horizontal="center"/>
    </xf>
    <xf numFmtId="2" fontId="2" fillId="2" borderId="8" xfId="0" applyNumberFormat="1" applyFont="1" applyFill="1" applyBorder="1" applyAlignment="1">
      <alignment horizontal="center"/>
    </xf>
    <xf numFmtId="0" fontId="0" fillId="0" borderId="4" xfId="0" applyBorder="1"/>
    <xf numFmtId="0" fontId="0" fillId="5" borderId="1" xfId="0" applyFill="1" applyBorder="1"/>
    <xf numFmtId="2" fontId="9" fillId="0" borderId="3" xfId="0" applyNumberFormat="1" applyFont="1" applyBorder="1"/>
    <xf numFmtId="0" fontId="0" fillId="5" borderId="14" xfId="0" applyFill="1" applyBorder="1"/>
    <xf numFmtId="0" fontId="13" fillId="2" borderId="17" xfId="0" applyFont="1" applyFill="1" applyBorder="1"/>
    <xf numFmtId="0" fontId="0" fillId="2" borderId="17" xfId="0" applyFill="1" applyBorder="1"/>
    <xf numFmtId="2" fontId="0" fillId="0" borderId="0" xfId="0" applyNumberFormat="1" applyAlignment="1">
      <alignment horizontal="right"/>
    </xf>
    <xf numFmtId="2" fontId="6" fillId="0" borderId="0" xfId="0" applyNumberFormat="1" applyFont="1" applyAlignment="1">
      <alignment horizontal="right"/>
    </xf>
    <xf numFmtId="2" fontId="6" fillId="0" borderId="8" xfId="0" applyNumberFormat="1" applyFont="1" applyBorder="1" applyAlignment="1">
      <alignment horizontal="right"/>
    </xf>
    <xf numFmtId="2" fontId="0" fillId="0" borderId="3" xfId="0" applyNumberFormat="1" applyBorder="1" applyAlignment="1">
      <alignment horizontal="right"/>
    </xf>
    <xf numFmtId="2" fontId="0" fillId="0" borderId="1" xfId="0" applyNumberFormat="1" applyBorder="1" applyAlignment="1">
      <alignment horizontal="right"/>
    </xf>
    <xf numFmtId="2" fontId="9" fillId="0" borderId="0" xfId="0" applyNumberFormat="1" applyFont="1" applyAlignment="1">
      <alignment horizontal="right"/>
    </xf>
    <xf numFmtId="2" fontId="9" fillId="5" borderId="0" xfId="0" applyNumberFormat="1" applyFont="1" applyFill="1" applyAlignment="1">
      <alignment horizontal="right"/>
    </xf>
    <xf numFmtId="2" fontId="9" fillId="5" borderId="8" xfId="0" applyNumberFormat="1" applyFont="1" applyFill="1" applyBorder="1" applyAlignment="1">
      <alignment horizontal="right"/>
    </xf>
    <xf numFmtId="2" fontId="0" fillId="0" borderId="8" xfId="0" applyNumberFormat="1" applyBorder="1" applyAlignment="1">
      <alignment horizontal="right"/>
    </xf>
    <xf numFmtId="2" fontId="0" fillId="2" borderId="0" xfId="0" applyNumberFormat="1" applyFill="1" applyAlignment="1">
      <alignment horizontal="right"/>
    </xf>
    <xf numFmtId="2" fontId="2" fillId="2" borderId="0" xfId="0" applyNumberFormat="1" applyFont="1" applyFill="1" applyAlignment="1">
      <alignment horizontal="right"/>
    </xf>
    <xf numFmtId="2" fontId="2" fillId="2" borderId="8" xfId="0" applyNumberFormat="1" applyFont="1" applyFill="1" applyBorder="1" applyAlignment="1">
      <alignment horizontal="right"/>
    </xf>
    <xf numFmtId="2" fontId="2" fillId="0" borderId="0" xfId="0" applyNumberFormat="1" applyFont="1" applyAlignment="1">
      <alignment horizontal="right"/>
    </xf>
    <xf numFmtId="2" fontId="2" fillId="0" borderId="8" xfId="0" applyNumberFormat="1" applyFont="1" applyBorder="1" applyAlignment="1">
      <alignment horizontal="right"/>
    </xf>
    <xf numFmtId="0" fontId="2" fillId="2" borderId="0" xfId="0" applyFont="1" applyFill="1" applyAlignment="1">
      <alignment horizontal="right"/>
    </xf>
    <xf numFmtId="0" fontId="2" fillId="2" borderId="8" xfId="0" applyFont="1" applyFill="1" applyBorder="1" applyAlignment="1">
      <alignment horizontal="right"/>
    </xf>
    <xf numFmtId="2" fontId="6" fillId="5" borderId="0" xfId="0" applyNumberFormat="1" applyFont="1" applyFill="1" applyAlignment="1">
      <alignment horizontal="right"/>
    </xf>
    <xf numFmtId="2" fontId="6" fillId="5" borderId="8" xfId="0" applyNumberFormat="1" applyFont="1" applyFill="1" applyBorder="1" applyAlignment="1">
      <alignment horizontal="right"/>
    </xf>
    <xf numFmtId="2" fontId="7" fillId="0" borderId="0" xfId="0" applyNumberFormat="1" applyFont="1" applyAlignment="1">
      <alignment horizontal="right"/>
    </xf>
    <xf numFmtId="2" fontId="32" fillId="0" borderId="0" xfId="0" applyNumberFormat="1" applyFont="1" applyAlignment="1">
      <alignment horizontal="right"/>
    </xf>
    <xf numFmtId="2" fontId="32" fillId="5" borderId="0" xfId="0" applyNumberFormat="1" applyFont="1" applyFill="1" applyAlignment="1">
      <alignment horizontal="right"/>
    </xf>
    <xf numFmtId="2" fontId="32" fillId="0" borderId="8" xfId="0" applyNumberFormat="1" applyFont="1" applyBorder="1" applyAlignment="1">
      <alignment horizontal="right"/>
    </xf>
    <xf numFmtId="0" fontId="1" fillId="3" borderId="2" xfId="0" applyFont="1" applyFill="1" applyBorder="1"/>
    <xf numFmtId="164" fontId="6" fillId="0" borderId="0" xfId="0" applyNumberFormat="1" applyFont="1"/>
    <xf numFmtId="164" fontId="6" fillId="0" borderId="8" xfId="0" applyNumberFormat="1" applyFont="1" applyBorder="1"/>
    <xf numFmtId="0" fontId="0" fillId="0" borderId="3" xfId="0" applyBorder="1"/>
    <xf numFmtId="164" fontId="0" fillId="0" borderId="0" xfId="0" quotePrefix="1" applyNumberFormat="1"/>
    <xf numFmtId="164" fontId="0" fillId="5" borderId="3" xfId="0" applyNumberFormat="1" applyFill="1" applyBorder="1"/>
    <xf numFmtId="164" fontId="0" fillId="5" borderId="1" xfId="0" applyNumberFormat="1" applyFill="1" applyBorder="1"/>
    <xf numFmtId="164" fontId="8" fillId="0" borderId="0" xfId="0" quotePrefix="1" applyNumberFormat="1" applyFont="1"/>
    <xf numFmtId="164" fontId="0" fillId="0" borderId="8" xfId="0" quotePrefix="1" applyNumberFormat="1" applyBorder="1"/>
    <xf numFmtId="0" fontId="0" fillId="5" borderId="3" xfId="0" applyFill="1" applyBorder="1"/>
    <xf numFmtId="0" fontId="0" fillId="0" borderId="0" xfId="0" applyAlignment="1">
      <alignment horizontal="left" wrapText="1"/>
    </xf>
    <xf numFmtId="164" fontId="0" fillId="0" borderId="4" xfId="0" applyNumberFormat="1" applyBorder="1"/>
    <xf numFmtId="0" fontId="9" fillId="0" borderId="0" xfId="0" applyFont="1" applyAlignment="1">
      <alignment horizontal="left" readingOrder="1"/>
    </xf>
    <xf numFmtId="0" fontId="9" fillId="0" borderId="0" xfId="0" applyFont="1" applyAlignment="1">
      <alignment horizontal="left"/>
    </xf>
    <xf numFmtId="164" fontId="0" fillId="5" borderId="0" xfId="0" quotePrefix="1" applyNumberFormat="1" applyFill="1"/>
    <xf numFmtId="164" fontId="6" fillId="5" borderId="8" xfId="0" applyNumberFormat="1" applyFont="1" applyFill="1" applyBorder="1"/>
    <xf numFmtId="164" fontId="7" fillId="0" borderId="0" xfId="0" quotePrefix="1" applyNumberFormat="1" applyFont="1"/>
    <xf numFmtId="0" fontId="5" fillId="0" borderId="0" xfId="0" applyFont="1"/>
    <xf numFmtId="0" fontId="9" fillId="0" borderId="0" xfId="0" applyFont="1" applyAlignment="1">
      <alignment horizontal="left" vertical="center" readingOrder="1"/>
    </xf>
    <xf numFmtId="0" fontId="9" fillId="0" borderId="0" xfId="0" applyFont="1"/>
    <xf numFmtId="0" fontId="34" fillId="0" borderId="0" xfId="0" applyFont="1"/>
    <xf numFmtId="0" fontId="6" fillId="0" borderId="0" xfId="0" applyFont="1"/>
    <xf numFmtId="0" fontId="3" fillId="2" borderId="0" xfId="0" applyFont="1" applyFill="1" applyAlignment="1">
      <alignment horizontal="left"/>
    </xf>
    <xf numFmtId="164" fontId="0" fillId="0" borderId="7" xfId="0" applyNumberFormat="1" applyBorder="1"/>
    <xf numFmtId="164" fontId="0" fillId="5" borderId="14" xfId="0" applyNumberFormat="1" applyFill="1" applyBorder="1"/>
    <xf numFmtId="164" fontId="0" fillId="0" borderId="2" xfId="0" applyNumberFormat="1" applyBorder="1"/>
    <xf numFmtId="164" fontId="0" fillId="0" borderId="41" xfId="0" applyNumberFormat="1" applyBorder="1"/>
    <xf numFmtId="164" fontId="0" fillId="5" borderId="16" xfId="0" applyNumberFormat="1" applyFill="1" applyBorder="1"/>
    <xf numFmtId="166" fontId="0" fillId="3" borderId="4" xfId="0" applyNumberFormat="1" applyFill="1" applyBorder="1"/>
    <xf numFmtId="166" fontId="0" fillId="3" borderId="7" xfId="0" applyNumberFormat="1" applyFill="1" applyBorder="1"/>
    <xf numFmtId="166" fontId="0" fillId="3" borderId="2" xfId="0" applyNumberFormat="1" applyFill="1" applyBorder="1"/>
    <xf numFmtId="166" fontId="0" fillId="3" borderId="41" xfId="0" applyNumberFormat="1" applyFill="1" applyBorder="1"/>
    <xf numFmtId="2" fontId="7" fillId="5" borderId="8" xfId="0" applyNumberFormat="1" applyFont="1" applyFill="1" applyBorder="1"/>
    <xf numFmtId="0" fontId="33" fillId="0" borderId="0" xfId="0" applyFont="1" applyAlignment="1">
      <alignment horizontal="center" vertical="center" readingOrder="1"/>
    </xf>
    <xf numFmtId="2" fontId="0" fillId="5" borderId="0" xfId="0" applyNumberFormat="1" applyFill="1" applyAlignment="1">
      <alignment horizontal="right"/>
    </xf>
    <xf numFmtId="2" fontId="0" fillId="5" borderId="8" xfId="0" applyNumberFormat="1" applyFill="1" applyBorder="1" applyAlignment="1">
      <alignment horizontal="right"/>
    </xf>
    <xf numFmtId="0" fontId="22" fillId="0" borderId="3" xfId="0" applyFont="1" applyBorder="1"/>
    <xf numFmtId="165" fontId="0" fillId="0" borderId="3" xfId="0" quotePrefix="1" applyNumberFormat="1" applyBorder="1"/>
    <xf numFmtId="164" fontId="35" fillId="5" borderId="0" xfId="0" quotePrefix="1" applyNumberFormat="1" applyFont="1" applyFill="1"/>
    <xf numFmtId="164" fontId="14" fillId="5" borderId="8" xfId="0" applyNumberFormat="1" applyFont="1" applyFill="1" applyBorder="1"/>
    <xf numFmtId="164" fontId="35" fillId="5" borderId="3" xfId="0" quotePrefix="1" applyNumberFormat="1" applyFont="1" applyFill="1" applyBorder="1"/>
    <xf numFmtId="164" fontId="14" fillId="5" borderId="1" xfId="0" applyNumberFormat="1" applyFont="1" applyFill="1" applyBorder="1"/>
    <xf numFmtId="2" fontId="7" fillId="0" borderId="8" xfId="0" applyNumberFormat="1" applyFont="1" applyBorder="1" applyAlignment="1">
      <alignment horizontal="right"/>
    </xf>
    <xf numFmtId="164" fontId="0" fillId="0" borderId="0" xfId="0" applyNumberFormat="1" applyAlignment="1">
      <alignment horizontal="right"/>
    </xf>
    <xf numFmtId="167" fontId="0" fillId="0" borderId="0" xfId="0" applyNumberFormat="1"/>
    <xf numFmtId="164" fontId="9" fillId="5" borderId="3" xfId="0" quotePrefix="1" applyNumberFormat="1" applyFont="1" applyFill="1" applyBorder="1"/>
    <xf numFmtId="0" fontId="3" fillId="2" borderId="19" xfId="0" applyFont="1" applyFill="1" applyBorder="1" applyAlignment="1">
      <alignment horizontal="left"/>
    </xf>
    <xf numFmtId="0" fontId="3" fillId="2" borderId="20" xfId="0" applyFont="1" applyFill="1" applyBorder="1" applyAlignment="1">
      <alignment horizontal="left"/>
    </xf>
    <xf numFmtId="0" fontId="3" fillId="2" borderId="33" xfId="0" applyFont="1" applyFill="1" applyBorder="1" applyAlignment="1">
      <alignment horizontal="left"/>
    </xf>
    <xf numFmtId="0" fontId="3" fillId="2" borderId="15" xfId="0" applyFont="1" applyFill="1" applyBorder="1" applyAlignment="1">
      <alignment horizontal="left"/>
    </xf>
    <xf numFmtId="0" fontId="0" fillId="7" borderId="0" xfId="0" quotePrefix="1" applyFill="1"/>
    <xf numFmtId="0" fontId="0" fillId="0" borderId="8" xfId="0" applyBorder="1" applyAlignment="1">
      <alignment horizontal="left"/>
    </xf>
    <xf numFmtId="2" fontId="0" fillId="0" borderId="7" xfId="0" quotePrefix="1" applyNumberFormat="1" applyBorder="1"/>
    <xf numFmtId="164" fontId="0" fillId="0" borderId="3" xfId="0" applyNumberFormat="1" applyBorder="1" applyAlignment="1">
      <alignment horizontal="right"/>
    </xf>
    <xf numFmtId="0" fontId="0" fillId="7" borderId="0" xfId="0" applyFill="1"/>
    <xf numFmtId="0" fontId="1" fillId="2" borderId="0" xfId="0" applyFont="1" applyFill="1" applyAlignment="1">
      <alignment horizontal="left"/>
    </xf>
    <xf numFmtId="0" fontId="0" fillId="2" borderId="19" xfId="0" applyFill="1" applyBorder="1" applyAlignment="1">
      <alignment horizontal="left"/>
    </xf>
    <xf numFmtId="0" fontId="0" fillId="2" borderId="22" xfId="0" applyFill="1" applyBorder="1" applyAlignment="1">
      <alignment horizontal="left"/>
    </xf>
    <xf numFmtId="0" fontId="0" fillId="2" borderId="33" xfId="0" applyFill="1" applyBorder="1" applyAlignment="1">
      <alignment horizontal="left"/>
    </xf>
    <xf numFmtId="2" fontId="0" fillId="2" borderId="8" xfId="0" applyNumberFormat="1" applyFill="1" applyBorder="1"/>
    <xf numFmtId="0" fontId="0" fillId="2" borderId="6" xfId="0" applyFill="1" applyBorder="1"/>
    <xf numFmtId="0" fontId="1" fillId="0" borderId="7" xfId="0" applyFont="1" applyBorder="1"/>
    <xf numFmtId="0" fontId="6" fillId="2" borderId="0" xfId="0" applyFont="1" applyFill="1"/>
    <xf numFmtId="1" fontId="0" fillId="0" borderId="21" xfId="0" applyNumberFormat="1" applyBorder="1"/>
    <xf numFmtId="1" fontId="0" fillId="0" borderId="14" xfId="0" applyNumberFormat="1" applyBorder="1"/>
    <xf numFmtId="1" fontId="0" fillId="0" borderId="16" xfId="0" applyNumberFormat="1" applyBorder="1"/>
    <xf numFmtId="1" fontId="0" fillId="0" borderId="21" xfId="0" applyNumberFormat="1" applyBorder="1" applyAlignment="1">
      <alignment horizontal="right"/>
    </xf>
    <xf numFmtId="1" fontId="0" fillId="0" borderId="16" xfId="0" applyNumberFormat="1" applyBorder="1" applyAlignment="1">
      <alignment horizontal="right"/>
    </xf>
    <xf numFmtId="0" fontId="0" fillId="0" borderId="37" xfId="0" applyBorder="1"/>
    <xf numFmtId="2" fontId="37" fillId="0" borderId="8" xfId="0" applyNumberFormat="1" applyFont="1" applyBorder="1" applyAlignment="1">
      <alignment horizontal="right"/>
    </xf>
    <xf numFmtId="2" fontId="37" fillId="0" borderId="0" xfId="0" applyNumberFormat="1" applyFont="1" applyAlignment="1">
      <alignment horizontal="right"/>
    </xf>
    <xf numFmtId="0" fontId="1" fillId="0" borderId="5" xfId="0" applyFont="1" applyBorder="1"/>
    <xf numFmtId="0" fontId="2" fillId="0" borderId="7" xfId="0" applyFont="1" applyBorder="1" applyAlignment="1">
      <alignment horizontal="center"/>
    </xf>
    <xf numFmtId="0" fontId="2" fillId="0" borderId="8" xfId="0" applyFont="1" applyBorder="1" applyAlignment="1">
      <alignment horizontal="center"/>
    </xf>
    <xf numFmtId="0" fontId="0" fillId="2" borderId="10" xfId="0" applyFill="1" applyBorder="1"/>
    <xf numFmtId="0" fontId="0" fillId="2" borderId="1" xfId="0" applyFill="1" applyBorder="1"/>
    <xf numFmtId="164" fontId="0" fillId="0" borderId="1" xfId="0" applyNumberFormat="1" applyBorder="1"/>
    <xf numFmtId="164" fontId="6" fillId="5" borderId="0" xfId="0" applyNumberFormat="1" applyFont="1" applyFill="1"/>
    <xf numFmtId="164" fontId="14" fillId="5" borderId="0" xfId="0" applyNumberFormat="1" applyFont="1" applyFill="1"/>
    <xf numFmtId="164" fontId="0" fillId="0" borderId="8" xfId="0" applyNumberFormat="1" applyBorder="1" applyAlignment="1">
      <alignment horizontal="right"/>
    </xf>
    <xf numFmtId="164" fontId="7" fillId="0" borderId="8" xfId="0" applyNumberFormat="1" applyFont="1" applyBorder="1"/>
    <xf numFmtId="164" fontId="9" fillId="0" borderId="8" xfId="0" applyNumberFormat="1" applyFont="1" applyBorder="1"/>
    <xf numFmtId="164" fontId="0" fillId="5" borderId="0" xfId="0" applyNumberFormat="1" applyFill="1" applyAlignment="1">
      <alignment horizontal="right"/>
    </xf>
    <xf numFmtId="0" fontId="2" fillId="0" borderId="6" xfId="0" applyFont="1" applyBorder="1" applyAlignment="1">
      <alignment horizontal="center"/>
    </xf>
    <xf numFmtId="0" fontId="1" fillId="0" borderId="4" xfId="0" applyFont="1" applyBorder="1"/>
    <xf numFmtId="0" fontId="2" fillId="0" borderId="4" xfId="0" applyFont="1" applyBorder="1" applyAlignment="1">
      <alignment horizontal="center"/>
    </xf>
    <xf numFmtId="0" fontId="2" fillId="0" borderId="5" xfId="0" applyFont="1" applyBorder="1" applyAlignment="1">
      <alignment horizontal="center"/>
    </xf>
    <xf numFmtId="0" fontId="5" fillId="2" borderId="44" xfId="0" applyFont="1" applyFill="1" applyBorder="1"/>
    <xf numFmtId="0" fontId="26" fillId="2" borderId="0" xfId="0" applyFont="1" applyFill="1" applyAlignment="1">
      <alignment horizontal="left" wrapText="1"/>
    </xf>
    <xf numFmtId="0" fontId="29" fillId="2" borderId="0" xfId="0" applyFont="1" applyFill="1" applyAlignment="1">
      <alignment horizontal="left" vertical="top" wrapText="1"/>
    </xf>
    <xf numFmtId="0" fontId="27" fillId="2" borderId="0" xfId="0" applyFont="1" applyFill="1" applyAlignment="1">
      <alignment horizontal="left" vertical="top" wrapText="1"/>
    </xf>
    <xf numFmtId="0" fontId="2" fillId="4" borderId="4" xfId="0" applyFont="1" applyFill="1" applyBorder="1" applyAlignment="1">
      <alignment horizontal="center"/>
    </xf>
    <xf numFmtId="0" fontId="2" fillId="4" borderId="5" xfId="0" applyFont="1" applyFill="1" applyBorder="1" applyAlignment="1">
      <alignment horizontal="center"/>
    </xf>
    <xf numFmtId="0" fontId="2" fillId="4" borderId="6" xfId="0" applyFont="1" applyFill="1" applyBorder="1" applyAlignment="1">
      <alignment horizontal="center"/>
    </xf>
    <xf numFmtId="0" fontId="4" fillId="4" borderId="4" xfId="0" applyFont="1" applyFill="1" applyBorder="1" applyAlignment="1">
      <alignment horizontal="left"/>
    </xf>
    <xf numFmtId="0" fontId="4" fillId="4" borderId="6" xfId="0" applyFont="1" applyFill="1" applyBorder="1" applyAlignment="1">
      <alignment horizontal="left"/>
    </xf>
    <xf numFmtId="0" fontId="10" fillId="0" borderId="3" xfId="0" applyFont="1" applyBorder="1" applyAlignment="1">
      <alignment horizontal="center" vertical="center"/>
    </xf>
    <xf numFmtId="2" fontId="2" fillId="2" borderId="0" xfId="0" applyNumberFormat="1" applyFont="1" applyFill="1" applyAlignment="1">
      <alignment horizontal="center"/>
    </xf>
    <xf numFmtId="0" fontId="2" fillId="4" borderId="10" xfId="0" applyFont="1" applyFill="1" applyBorder="1" applyAlignment="1">
      <alignment horizontal="center"/>
    </xf>
    <xf numFmtId="0" fontId="2" fillId="4" borderId="11" xfId="0" applyFont="1" applyFill="1" applyBorder="1" applyAlignment="1">
      <alignment horizontal="center"/>
    </xf>
    <xf numFmtId="0" fontId="2" fillId="4" borderId="12" xfId="0" applyFont="1" applyFill="1" applyBorder="1" applyAlignment="1">
      <alignment horizontal="center"/>
    </xf>
    <xf numFmtId="2" fontId="0" fillId="0" borderId="0" xfId="0" applyNumberFormat="1" applyAlignment="1">
      <alignment horizontal="left" wrapText="1"/>
    </xf>
    <xf numFmtId="0" fontId="0" fillId="0" borderId="0" xfId="0" applyAlignment="1">
      <alignment horizontal="left" wrapText="1"/>
    </xf>
    <xf numFmtId="0" fontId="4" fillId="4" borderId="5" xfId="0" applyFont="1" applyFill="1" applyBorder="1" applyAlignment="1">
      <alignment horizontal="left"/>
    </xf>
    <xf numFmtId="0" fontId="1" fillId="2" borderId="0" xfId="0" applyFont="1" applyFill="1" applyAlignment="1">
      <alignment horizontal="center" vertical="center" textRotation="90"/>
    </xf>
    <xf numFmtId="0" fontId="1" fillId="2" borderId="22" xfId="0" applyFont="1" applyFill="1" applyBorder="1" applyAlignment="1">
      <alignment horizontal="center" textRotation="90"/>
    </xf>
    <xf numFmtId="0" fontId="2" fillId="2" borderId="27" xfId="0" applyFont="1" applyFill="1" applyBorder="1" applyAlignment="1">
      <alignment horizontal="center"/>
    </xf>
    <xf numFmtId="0" fontId="2" fillId="2" borderId="28" xfId="0" applyFont="1" applyFill="1" applyBorder="1" applyAlignment="1">
      <alignment horizontal="center"/>
    </xf>
    <xf numFmtId="0" fontId="2" fillId="2" borderId="30" xfId="0" applyFont="1" applyFill="1" applyBorder="1" applyAlignment="1">
      <alignment horizontal="center"/>
    </xf>
    <xf numFmtId="0" fontId="1" fillId="2" borderId="19" xfId="0" applyFont="1" applyFill="1" applyBorder="1" applyAlignment="1">
      <alignment horizontal="left" wrapText="1"/>
    </xf>
    <xf numFmtId="0" fontId="1" fillId="2" borderId="34" xfId="0" applyFont="1" applyFill="1" applyBorder="1" applyAlignment="1">
      <alignment horizontal="left" wrapText="1"/>
    </xf>
    <xf numFmtId="0" fontId="1" fillId="2" borderId="39" xfId="0" applyFont="1" applyFill="1" applyBorder="1" applyAlignment="1">
      <alignment horizontal="left" wrapText="1"/>
    </xf>
    <xf numFmtId="0" fontId="1" fillId="2" borderId="1" xfId="0" applyFont="1" applyFill="1" applyBorder="1" applyAlignment="1">
      <alignment horizontal="left" wrapText="1"/>
    </xf>
    <xf numFmtId="0" fontId="2" fillId="2" borderId="38" xfId="0" applyFont="1" applyFill="1" applyBorder="1" applyAlignment="1">
      <alignment horizontal="center"/>
    </xf>
    <xf numFmtId="0" fontId="2" fillId="2" borderId="20" xfId="0" applyFont="1" applyFill="1" applyBorder="1" applyAlignment="1">
      <alignment horizontal="center"/>
    </xf>
    <xf numFmtId="0" fontId="2" fillId="2" borderId="34" xfId="0" applyFont="1" applyFill="1" applyBorder="1" applyAlignment="1">
      <alignment horizontal="center"/>
    </xf>
    <xf numFmtId="0" fontId="0" fillId="2" borderId="19" xfId="0" applyFill="1" applyBorder="1" applyAlignment="1">
      <alignment horizontal="left"/>
    </xf>
    <xf numFmtId="0" fontId="0" fillId="2" borderId="20" xfId="0" applyFill="1" applyBorder="1" applyAlignment="1">
      <alignment horizontal="left"/>
    </xf>
    <xf numFmtId="0" fontId="0" fillId="2" borderId="21" xfId="0" applyFill="1" applyBorder="1" applyAlignment="1">
      <alignment horizontal="left"/>
    </xf>
    <xf numFmtId="0" fontId="0" fillId="2" borderId="33" xfId="0" applyFill="1" applyBorder="1" applyAlignment="1">
      <alignment horizontal="left"/>
    </xf>
    <xf numFmtId="0" fontId="0" fillId="2" borderId="15" xfId="0" applyFill="1" applyBorder="1" applyAlignment="1">
      <alignment horizontal="left"/>
    </xf>
    <xf numFmtId="0" fontId="0" fillId="2" borderId="16" xfId="0" applyFill="1" applyBorder="1" applyAlignment="1">
      <alignment horizontal="left"/>
    </xf>
    <xf numFmtId="0" fontId="1" fillId="2" borderId="26" xfId="0" applyFont="1" applyFill="1" applyBorder="1" applyAlignment="1">
      <alignment horizontal="left"/>
    </xf>
    <xf numFmtId="0" fontId="1" fillId="2" borderId="31" xfId="0" applyFont="1" applyFill="1" applyBorder="1" applyAlignment="1">
      <alignment horizontal="left"/>
    </xf>
    <xf numFmtId="0" fontId="1" fillId="0" borderId="0" xfId="0" applyFont="1" applyAlignment="1">
      <alignment horizontal="center"/>
    </xf>
    <xf numFmtId="0" fontId="0" fillId="0" borderId="33" xfId="0" applyBorder="1"/>
    <xf numFmtId="0" fontId="0" fillId="0" borderId="15" xfId="0" applyBorder="1"/>
    <xf numFmtId="0" fontId="0" fillId="0" borderId="16" xfId="0" applyBorder="1"/>
    <xf numFmtId="0" fontId="0" fillId="0" borderId="22" xfId="0" applyBorder="1"/>
    <xf numFmtId="0" fontId="0" fillId="0" borderId="0" xfId="0"/>
    <xf numFmtId="0" fontId="0" fillId="0" borderId="14" xfId="0" applyBorder="1"/>
    <xf numFmtId="0" fontId="1" fillId="2" borderId="23" xfId="0" applyFont="1" applyFill="1" applyBorder="1" applyAlignment="1">
      <alignment horizontal="center"/>
    </xf>
    <xf numFmtId="0" fontId="1" fillId="2" borderId="24" xfId="0" applyFont="1" applyFill="1" applyBorder="1" applyAlignment="1">
      <alignment horizontal="center"/>
    </xf>
    <xf numFmtId="0" fontId="1" fillId="2" borderId="25" xfId="0" applyFont="1" applyFill="1" applyBorder="1" applyAlignment="1">
      <alignment horizontal="center"/>
    </xf>
    <xf numFmtId="0" fontId="2" fillId="2" borderId="29" xfId="0" applyFont="1" applyFill="1" applyBorder="1" applyAlignment="1">
      <alignment horizontal="center"/>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0" fillId="0" borderId="19" xfId="0" applyBorder="1"/>
    <xf numFmtId="0" fontId="0" fillId="0" borderId="20" xfId="0" applyBorder="1"/>
    <xf numFmtId="0" fontId="0" fillId="0" borderId="21" xfId="0" applyBorder="1"/>
    <xf numFmtId="0" fontId="2" fillId="2" borderId="21" xfId="0" applyFont="1" applyFill="1" applyBorder="1" applyAlignment="1">
      <alignment horizontal="center"/>
    </xf>
    <xf numFmtId="0" fontId="1" fillId="0" borderId="22" xfId="0" applyFont="1" applyBorder="1" applyAlignment="1">
      <alignment horizontal="center"/>
    </xf>
    <xf numFmtId="0" fontId="1" fillId="2" borderId="0" xfId="0" applyFont="1" applyFill="1" applyAlignment="1">
      <alignment horizontal="center"/>
    </xf>
    <xf numFmtId="0" fontId="1" fillId="2" borderId="0" xfId="0" applyFont="1" applyFill="1" applyAlignment="1">
      <alignment horizontal="center" wrapText="1"/>
    </xf>
    <xf numFmtId="0" fontId="23"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1"/>
  <sheetViews>
    <sheetView tabSelected="1" zoomScale="90" zoomScaleNormal="90" workbookViewId="0">
      <selection activeCell="A8" sqref="A8:F8"/>
    </sheetView>
  </sheetViews>
  <sheetFormatPr defaultRowHeight="14.4" x14ac:dyDescent="0.3"/>
  <cols>
    <col min="1" max="1" width="15.77734375" customWidth="1"/>
    <col min="2" max="2" width="18.21875" customWidth="1"/>
    <col min="3" max="4" width="17.21875" customWidth="1"/>
    <col min="5" max="5" width="16.21875" customWidth="1"/>
    <col min="6" max="6" width="16.77734375" customWidth="1"/>
  </cols>
  <sheetData>
    <row r="1" spans="1:6" x14ac:dyDescent="0.3">
      <c r="A1" s="310"/>
      <c r="B1" s="310"/>
      <c r="C1" s="310"/>
      <c r="D1" s="310"/>
      <c r="E1" s="310"/>
      <c r="F1" s="310"/>
    </row>
    <row r="2" spans="1:6" x14ac:dyDescent="0.3">
      <c r="A2" s="310" t="s">
        <v>77</v>
      </c>
      <c r="B2" s="310"/>
      <c r="C2" s="310"/>
      <c r="D2" s="310"/>
      <c r="E2" s="310"/>
      <c r="F2" s="310"/>
    </row>
    <row r="3" spans="1:6" ht="33.75" customHeight="1" x14ac:dyDescent="0.3">
      <c r="A3" s="312" t="s">
        <v>303</v>
      </c>
      <c r="B3" s="312"/>
      <c r="C3" s="312"/>
      <c r="D3" s="312"/>
      <c r="E3" s="312"/>
      <c r="F3" s="312"/>
    </row>
    <row r="4" spans="1:6" ht="48.75" customHeight="1" x14ac:dyDescent="0.3">
      <c r="A4" s="312" t="s">
        <v>126</v>
      </c>
      <c r="B4" s="312"/>
      <c r="C4" s="312"/>
      <c r="D4" s="312"/>
      <c r="E4" s="312"/>
      <c r="F4" s="312"/>
    </row>
    <row r="5" spans="1:6" ht="67.5" customHeight="1" x14ac:dyDescent="0.3">
      <c r="A5" s="312" t="s">
        <v>263</v>
      </c>
      <c r="B5" s="312"/>
      <c r="C5" s="312"/>
      <c r="D5" s="312"/>
      <c r="E5" s="312"/>
      <c r="F5" s="312"/>
    </row>
    <row r="6" spans="1:6" ht="23.25" customHeight="1" x14ac:dyDescent="0.3">
      <c r="A6" s="311" t="s">
        <v>101</v>
      </c>
      <c r="B6" s="311"/>
      <c r="C6" s="311"/>
      <c r="D6" s="311"/>
      <c r="E6" s="311"/>
      <c r="F6" s="311"/>
    </row>
    <row r="7" spans="1:6" ht="24" customHeight="1" x14ac:dyDescent="0.3">
      <c r="A7" s="311" t="s">
        <v>102</v>
      </c>
      <c r="B7" s="311"/>
      <c r="C7" s="311"/>
      <c r="D7" s="311"/>
      <c r="E7" s="311"/>
      <c r="F7" s="311"/>
    </row>
    <row r="8" spans="1:6" ht="49.8" customHeight="1" x14ac:dyDescent="0.3">
      <c r="A8" s="311" t="s">
        <v>317</v>
      </c>
      <c r="B8" s="311"/>
      <c r="C8" s="311"/>
      <c r="D8" s="311"/>
      <c r="E8" s="311"/>
      <c r="F8" s="311"/>
    </row>
    <row r="9" spans="1:6" x14ac:dyDescent="0.3">
      <c r="A9" s="189"/>
      <c r="B9" s="189"/>
      <c r="C9" s="189"/>
      <c r="D9" s="189"/>
      <c r="E9" s="189"/>
      <c r="F9" s="189"/>
    </row>
    <row r="10" spans="1:6" x14ac:dyDescent="0.3">
      <c r="A10" s="189"/>
      <c r="B10" s="189"/>
      <c r="C10" s="189"/>
      <c r="D10" s="189"/>
      <c r="E10" s="189"/>
      <c r="F10" s="189"/>
    </row>
    <row r="11" spans="1:6" x14ac:dyDescent="0.3">
      <c r="A11" s="191" t="s">
        <v>89</v>
      </c>
      <c r="B11" s="189"/>
      <c r="C11" s="189"/>
      <c r="D11" s="189"/>
      <c r="E11" s="189"/>
      <c r="F11" s="189"/>
    </row>
    <row r="12" spans="1:6" x14ac:dyDescent="0.3">
      <c r="A12" s="190" t="s">
        <v>164</v>
      </c>
      <c r="B12" s="189"/>
      <c r="C12" s="189"/>
      <c r="D12" s="189"/>
      <c r="E12" s="189"/>
      <c r="F12" s="189"/>
    </row>
    <row r="13" spans="1:6" x14ac:dyDescent="0.3">
      <c r="A13" s="190" t="s">
        <v>165</v>
      </c>
      <c r="B13" s="189"/>
      <c r="C13" s="189"/>
      <c r="D13" s="189"/>
      <c r="E13" s="189"/>
      <c r="F13" s="189"/>
    </row>
    <row r="14" spans="1:6" x14ac:dyDescent="0.3">
      <c r="A14" s="190" t="s">
        <v>166</v>
      </c>
      <c r="B14" s="189"/>
      <c r="C14" s="189"/>
      <c r="D14" s="189"/>
      <c r="E14" s="189"/>
      <c r="F14" s="189"/>
    </row>
    <row r="15" spans="1:6" x14ac:dyDescent="0.3">
      <c r="A15" s="190" t="s">
        <v>167</v>
      </c>
      <c r="B15" s="189"/>
      <c r="C15" s="189"/>
      <c r="D15" s="189"/>
      <c r="E15" s="189"/>
      <c r="F15" s="189"/>
    </row>
    <row r="16" spans="1:6" x14ac:dyDescent="0.3">
      <c r="A16" s="190" t="s">
        <v>168</v>
      </c>
      <c r="B16" s="189"/>
      <c r="C16" s="189"/>
      <c r="D16" s="189"/>
      <c r="E16" s="189"/>
      <c r="F16" s="189"/>
    </row>
    <row r="17" spans="1:6" x14ac:dyDescent="0.3">
      <c r="A17" s="190" t="s">
        <v>231</v>
      </c>
      <c r="B17" s="189"/>
      <c r="C17" s="189"/>
      <c r="D17" s="189"/>
      <c r="E17" s="189"/>
      <c r="F17" s="189"/>
    </row>
    <row r="18" spans="1:6" x14ac:dyDescent="0.3">
      <c r="A18" s="190" t="s">
        <v>169</v>
      </c>
      <c r="B18" s="189"/>
      <c r="C18" s="189"/>
      <c r="D18" s="189"/>
      <c r="E18" s="189"/>
      <c r="F18" s="189"/>
    </row>
    <row r="19" spans="1:6" x14ac:dyDescent="0.3">
      <c r="A19" s="190" t="s">
        <v>170</v>
      </c>
      <c r="B19" s="189"/>
      <c r="C19" s="189"/>
      <c r="D19" s="189"/>
      <c r="E19" s="189"/>
      <c r="F19" s="189"/>
    </row>
    <row r="20" spans="1:6" x14ac:dyDescent="0.3">
      <c r="A20" s="190" t="s">
        <v>157</v>
      </c>
      <c r="B20" s="189"/>
      <c r="C20" s="189"/>
      <c r="D20" s="189"/>
      <c r="E20" s="189"/>
      <c r="F20" s="189"/>
    </row>
    <row r="21" spans="1:6" x14ac:dyDescent="0.3">
      <c r="A21" s="190" t="s">
        <v>160</v>
      </c>
      <c r="B21" s="189"/>
      <c r="C21" s="189"/>
      <c r="D21" s="189"/>
      <c r="E21" s="189"/>
      <c r="F21" s="189"/>
    </row>
    <row r="22" spans="1:6" x14ac:dyDescent="0.3">
      <c r="A22" s="190" t="s">
        <v>240</v>
      </c>
      <c r="B22" s="189"/>
      <c r="C22" s="189"/>
      <c r="D22" s="189"/>
      <c r="E22" s="189"/>
      <c r="F22" s="189"/>
    </row>
    <row r="23" spans="1:6" x14ac:dyDescent="0.3">
      <c r="A23" s="190" t="s">
        <v>244</v>
      </c>
      <c r="B23" s="189"/>
      <c r="C23" s="189"/>
      <c r="D23" s="189"/>
      <c r="E23" s="189"/>
      <c r="F23" s="189"/>
    </row>
    <row r="24" spans="1:6" x14ac:dyDescent="0.3">
      <c r="A24" s="190" t="s">
        <v>171</v>
      </c>
      <c r="B24" s="189"/>
      <c r="C24" s="189"/>
      <c r="D24" s="189"/>
      <c r="E24" s="189"/>
      <c r="F24" s="189"/>
    </row>
    <row r="25" spans="1:6" x14ac:dyDescent="0.3">
      <c r="A25" s="190" t="s">
        <v>172</v>
      </c>
      <c r="B25" s="189"/>
      <c r="C25" s="189"/>
      <c r="D25" s="189"/>
      <c r="E25" s="189"/>
      <c r="F25" s="189"/>
    </row>
    <row r="26" spans="1:6" x14ac:dyDescent="0.3">
      <c r="A26" s="190" t="s">
        <v>173</v>
      </c>
      <c r="B26" s="189"/>
      <c r="C26" s="189"/>
      <c r="D26" s="189"/>
      <c r="E26" s="189"/>
      <c r="F26" s="189"/>
    </row>
    <row r="27" spans="1:6" x14ac:dyDescent="0.3">
      <c r="A27" s="189" t="s">
        <v>241</v>
      </c>
      <c r="B27" s="189"/>
      <c r="C27" s="189"/>
      <c r="D27" s="189"/>
      <c r="E27" s="189"/>
      <c r="F27" s="189"/>
    </row>
    <row r="28" spans="1:6" x14ac:dyDescent="0.3">
      <c r="A28" s="190" t="s">
        <v>174</v>
      </c>
    </row>
    <row r="31" spans="1:6" x14ac:dyDescent="0.3">
      <c r="A31" s="242"/>
    </row>
  </sheetData>
  <mergeCells count="8">
    <mergeCell ref="A1:F1"/>
    <mergeCell ref="A8:F8"/>
    <mergeCell ref="A5:F5"/>
    <mergeCell ref="A2:F2"/>
    <mergeCell ref="A3:F3"/>
    <mergeCell ref="A4:F4"/>
    <mergeCell ref="A7:F7"/>
    <mergeCell ref="A6:F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93"/>
  <sheetViews>
    <sheetView zoomScale="85" zoomScaleNormal="85" workbookViewId="0">
      <selection activeCell="B101" sqref="B101"/>
    </sheetView>
  </sheetViews>
  <sheetFormatPr defaultRowHeight="14.4" x14ac:dyDescent="0.3"/>
  <cols>
    <col min="1" max="1" width="27.21875" customWidth="1"/>
    <col min="2" max="2" width="45.44140625" customWidth="1"/>
    <col min="13" max="13" width="40" customWidth="1"/>
    <col min="14" max="14" width="9.21875" customWidth="1"/>
    <col min="15" max="15" width="9.109375" customWidth="1"/>
    <col min="16" max="16" width="27" bestFit="1" customWidth="1"/>
    <col min="17" max="17" width="9.44140625" customWidth="1"/>
    <col min="18" max="18" width="11.5546875" customWidth="1"/>
    <col min="19" max="19" width="11.21875" customWidth="1"/>
    <col min="20" max="20" width="10.5546875" customWidth="1"/>
    <col min="21" max="21" width="11.77734375" customWidth="1"/>
    <col min="22" max="22" width="11.44140625" customWidth="1"/>
    <col min="23" max="24" width="11" customWidth="1"/>
    <col min="25" max="25" width="10.5546875" customWidth="1"/>
  </cols>
  <sheetData>
    <row r="1" spans="1:16" ht="21" customHeight="1" x14ac:dyDescent="0.3">
      <c r="A1" s="318" t="s">
        <v>87</v>
      </c>
      <c r="B1" s="318"/>
    </row>
    <row r="2" spans="1:16" ht="18" x14ac:dyDescent="0.35">
      <c r="A2" s="316" t="s">
        <v>50</v>
      </c>
      <c r="B2" s="317"/>
      <c r="C2" s="320" t="s">
        <v>11</v>
      </c>
      <c r="D2" s="321"/>
      <c r="E2" s="321"/>
      <c r="F2" s="322"/>
      <c r="G2" s="313" t="s">
        <v>12</v>
      </c>
      <c r="H2" s="314"/>
      <c r="I2" s="314"/>
      <c r="J2" s="314"/>
      <c r="K2" s="314"/>
      <c r="L2" s="315"/>
      <c r="M2" t="s">
        <v>57</v>
      </c>
    </row>
    <row r="3" spans="1:16" x14ac:dyDescent="0.3">
      <c r="A3" s="68" t="s">
        <v>24</v>
      </c>
      <c r="B3" s="293" t="s">
        <v>88</v>
      </c>
      <c r="C3" s="294" t="s">
        <v>0</v>
      </c>
      <c r="D3" s="3" t="s">
        <v>1</v>
      </c>
      <c r="E3" s="3" t="s">
        <v>2</v>
      </c>
      <c r="F3" s="295" t="s">
        <v>3</v>
      </c>
      <c r="G3" s="19" t="s">
        <v>0</v>
      </c>
      <c r="H3" s="20" t="s">
        <v>1</v>
      </c>
      <c r="I3" s="20" t="s">
        <v>2</v>
      </c>
      <c r="J3" s="20" t="s">
        <v>3</v>
      </c>
      <c r="K3" s="20" t="s">
        <v>4</v>
      </c>
      <c r="L3" s="21" t="s">
        <v>307</v>
      </c>
      <c r="M3" t="s">
        <v>40</v>
      </c>
      <c r="P3" s="22"/>
    </row>
    <row r="4" spans="1:16" x14ac:dyDescent="0.3">
      <c r="A4" s="33" t="s">
        <v>6</v>
      </c>
      <c r="B4" s="296" t="s">
        <v>31</v>
      </c>
      <c r="C4" s="102" t="s">
        <v>14</v>
      </c>
      <c r="D4" s="102" t="s">
        <v>13</v>
      </c>
      <c r="E4" s="102" t="s">
        <v>15</v>
      </c>
      <c r="F4" s="102" t="s">
        <v>56</v>
      </c>
      <c r="G4" s="104" t="s">
        <v>14</v>
      </c>
      <c r="H4" s="104" t="s">
        <v>13</v>
      </c>
      <c r="I4" s="104" t="s">
        <v>15</v>
      </c>
      <c r="J4" s="104" t="s">
        <v>15</v>
      </c>
      <c r="K4" s="104" t="s">
        <v>56</v>
      </c>
      <c r="L4" s="297"/>
      <c r="M4" s="30" t="s">
        <v>66</v>
      </c>
    </row>
    <row r="5" spans="1:16" x14ac:dyDescent="0.3">
      <c r="A5" s="194"/>
      <c r="B5" s="2" t="s">
        <v>7</v>
      </c>
      <c r="C5" s="4">
        <v>19.899999999999999</v>
      </c>
      <c r="D5" s="4">
        <v>19.920000000000002</v>
      </c>
      <c r="E5" s="37">
        <v>16.906559999999999</v>
      </c>
      <c r="F5" s="28"/>
      <c r="G5" s="4">
        <v>5.63</v>
      </c>
      <c r="H5" s="4">
        <v>12.04</v>
      </c>
      <c r="I5" s="4">
        <v>16.906559999999999</v>
      </c>
      <c r="J5" s="28"/>
      <c r="K5" s="48"/>
      <c r="L5" s="36"/>
    </row>
    <row r="6" spans="1:16" x14ac:dyDescent="0.3">
      <c r="A6" s="11"/>
      <c r="B6" s="2" t="s">
        <v>8</v>
      </c>
      <c r="C6" s="4">
        <v>6.9649999999999999</v>
      </c>
      <c r="D6" s="4">
        <v>10.296666999999999</v>
      </c>
      <c r="E6" s="4">
        <v>9.43</v>
      </c>
      <c r="F6" s="4">
        <v>10.28</v>
      </c>
      <c r="G6" s="37">
        <v>6.9649999999999999</v>
      </c>
      <c r="H6" s="37">
        <v>10.296666999999999</v>
      </c>
      <c r="I6" s="4">
        <v>5.21</v>
      </c>
      <c r="J6" s="4">
        <v>7.262162</v>
      </c>
      <c r="K6" s="4">
        <v>8.32</v>
      </c>
      <c r="L6" s="12"/>
    </row>
    <row r="7" spans="1:16" x14ac:dyDescent="0.3">
      <c r="A7" s="38"/>
      <c r="B7" s="2"/>
      <c r="C7" s="4"/>
      <c r="D7" s="4"/>
      <c r="E7" s="4"/>
      <c r="F7" s="4"/>
      <c r="G7" s="4"/>
      <c r="H7" s="4"/>
      <c r="I7" s="4"/>
      <c r="J7" s="4"/>
      <c r="K7" s="4"/>
      <c r="L7" s="12"/>
    </row>
    <row r="8" spans="1:16" x14ac:dyDescent="0.3">
      <c r="A8" s="39" t="s">
        <v>5</v>
      </c>
      <c r="B8" s="23" t="s">
        <v>31</v>
      </c>
      <c r="C8" s="1" t="s">
        <v>52</v>
      </c>
      <c r="D8" s="1" t="s">
        <v>53</v>
      </c>
      <c r="E8" s="1" t="s">
        <v>54</v>
      </c>
      <c r="F8" s="1" t="s">
        <v>58</v>
      </c>
      <c r="G8" s="1" t="s">
        <v>52</v>
      </c>
      <c r="H8" s="1" t="s">
        <v>55</v>
      </c>
      <c r="I8" s="1" t="s">
        <v>54</v>
      </c>
      <c r="J8" s="1" t="s">
        <v>59</v>
      </c>
      <c r="K8" s="1" t="s">
        <v>60</v>
      </c>
      <c r="L8" s="40"/>
    </row>
    <row r="9" spans="1:16" x14ac:dyDescent="0.3">
      <c r="A9" s="11"/>
      <c r="B9" s="2" t="s">
        <v>7</v>
      </c>
      <c r="C9" s="4">
        <v>16.04</v>
      </c>
      <c r="D9" s="4">
        <v>20.22</v>
      </c>
      <c r="E9" s="37">
        <v>15.12</v>
      </c>
      <c r="F9" s="41"/>
      <c r="G9" s="37">
        <v>16.04</v>
      </c>
      <c r="H9" s="4">
        <v>16.87</v>
      </c>
      <c r="I9" s="4">
        <v>15.12</v>
      </c>
      <c r="J9" s="42"/>
      <c r="K9" s="28"/>
      <c r="L9" s="29"/>
    </row>
    <row r="10" spans="1:16" x14ac:dyDescent="0.3">
      <c r="A10" s="11"/>
      <c r="B10" s="2" t="s">
        <v>8</v>
      </c>
      <c r="C10" s="4"/>
      <c r="D10" s="4"/>
      <c r="E10" s="4">
        <v>10.6</v>
      </c>
      <c r="F10" s="4">
        <v>11.69</v>
      </c>
      <c r="G10" s="4"/>
      <c r="H10" s="4"/>
      <c r="I10" s="37">
        <v>10.6</v>
      </c>
      <c r="J10" s="4">
        <v>6.73</v>
      </c>
      <c r="K10" s="4">
        <v>7.89</v>
      </c>
      <c r="L10" s="12"/>
    </row>
    <row r="11" spans="1:16" x14ac:dyDescent="0.3">
      <c r="A11" s="11"/>
      <c r="B11" s="2"/>
      <c r="C11" s="4"/>
      <c r="D11" s="4"/>
      <c r="E11" s="4"/>
      <c r="F11" s="4"/>
      <c r="G11" s="4"/>
      <c r="H11" s="4"/>
      <c r="I11" s="4"/>
      <c r="J11" s="4"/>
      <c r="K11" s="4"/>
      <c r="L11" s="12"/>
    </row>
    <row r="12" spans="1:16" x14ac:dyDescent="0.3">
      <c r="A12" s="39" t="s">
        <v>36</v>
      </c>
      <c r="B12" s="23" t="s">
        <v>37</v>
      </c>
      <c r="C12" s="1" t="s">
        <v>0</v>
      </c>
      <c r="D12" s="1" t="s">
        <v>1</v>
      </c>
      <c r="E12" s="1" t="s">
        <v>2</v>
      </c>
      <c r="F12" s="1" t="s">
        <v>3</v>
      </c>
      <c r="G12" s="1" t="s">
        <v>0</v>
      </c>
      <c r="H12" s="1" t="s">
        <v>1</v>
      </c>
      <c r="I12" s="1" t="s">
        <v>2</v>
      </c>
      <c r="J12" s="1" t="s">
        <v>3</v>
      </c>
      <c r="K12" s="1" t="s">
        <v>4</v>
      </c>
      <c r="L12" s="40" t="s">
        <v>308</v>
      </c>
    </row>
    <row r="13" spans="1:16" x14ac:dyDescent="0.3">
      <c r="A13" s="11"/>
      <c r="B13" s="2" t="s">
        <v>7</v>
      </c>
      <c r="D13" s="4">
        <v>11.8</v>
      </c>
      <c r="E13" s="37">
        <v>22.67</v>
      </c>
      <c r="F13" s="28"/>
      <c r="G13" s="4"/>
      <c r="H13" s="37">
        <v>11.8</v>
      </c>
      <c r="I13" s="4">
        <v>22.67</v>
      </c>
      <c r="J13" s="28"/>
      <c r="K13" s="28"/>
      <c r="L13" s="29"/>
    </row>
    <row r="14" spans="1:16" x14ac:dyDescent="0.3">
      <c r="A14" s="11"/>
      <c r="B14" s="2" t="s">
        <v>8</v>
      </c>
      <c r="D14" s="4"/>
      <c r="E14" s="4">
        <v>8.9</v>
      </c>
      <c r="F14" s="37">
        <v>10.33</v>
      </c>
      <c r="G14" s="4"/>
      <c r="H14" s="4"/>
      <c r="I14" s="37">
        <v>8.9</v>
      </c>
      <c r="J14" s="4">
        <v>10.33</v>
      </c>
      <c r="K14" s="4"/>
      <c r="L14" s="12"/>
    </row>
    <row r="15" spans="1:16" x14ac:dyDescent="0.3">
      <c r="A15" s="11"/>
      <c r="B15" s="2" t="s">
        <v>69</v>
      </c>
      <c r="C15">
        <v>32.67</v>
      </c>
      <c r="D15" s="4">
        <v>16.2</v>
      </c>
      <c r="E15" s="4">
        <v>21.67</v>
      </c>
      <c r="F15" s="41"/>
      <c r="G15" s="37">
        <v>32.67</v>
      </c>
      <c r="H15" s="37">
        <v>16.2</v>
      </c>
      <c r="I15" s="37">
        <v>21.67</v>
      </c>
      <c r="J15" s="28"/>
      <c r="K15" s="28"/>
      <c r="L15" s="29"/>
    </row>
    <row r="16" spans="1:16" x14ac:dyDescent="0.3">
      <c r="A16" s="11"/>
      <c r="B16" s="2" t="s">
        <v>238</v>
      </c>
      <c r="D16" s="4"/>
      <c r="E16" s="4">
        <v>9.9</v>
      </c>
      <c r="F16" s="37">
        <v>10.67</v>
      </c>
      <c r="G16" s="4"/>
      <c r="H16" s="4"/>
      <c r="I16" s="37">
        <v>9.9</v>
      </c>
      <c r="J16" s="4">
        <v>10.67</v>
      </c>
      <c r="K16" s="47">
        <v>10.67</v>
      </c>
      <c r="L16" s="49">
        <f>K16</f>
        <v>10.67</v>
      </c>
    </row>
    <row r="17" spans="1:13" x14ac:dyDescent="0.3">
      <c r="A17" s="11"/>
      <c r="B17" s="2"/>
      <c r="D17" s="4"/>
      <c r="E17" s="4"/>
      <c r="F17" s="4"/>
      <c r="G17" s="4"/>
      <c r="H17" s="4"/>
      <c r="I17" s="4"/>
      <c r="J17" s="4"/>
      <c r="K17" s="4"/>
      <c r="L17" s="12"/>
    </row>
    <row r="18" spans="1:13" x14ac:dyDescent="0.3">
      <c r="A18" s="39" t="s">
        <v>21</v>
      </c>
      <c r="B18" s="23" t="s">
        <v>33</v>
      </c>
      <c r="C18" s="45"/>
      <c r="D18" s="45"/>
      <c r="E18" s="45"/>
      <c r="F18" s="45"/>
      <c r="G18" s="45"/>
      <c r="H18" s="45"/>
      <c r="I18" s="45"/>
      <c r="J18" s="23"/>
      <c r="K18" s="23"/>
      <c r="L18" s="43"/>
    </row>
    <row r="19" spans="1:13" x14ac:dyDescent="0.3">
      <c r="A19" s="11"/>
      <c r="B19" s="2" t="s">
        <v>7</v>
      </c>
      <c r="F19" s="42"/>
      <c r="J19" s="42"/>
      <c r="K19" s="42"/>
      <c r="L19" s="44"/>
      <c r="M19" t="s">
        <v>82</v>
      </c>
    </row>
    <row r="20" spans="1:13" x14ac:dyDescent="0.3">
      <c r="A20" s="11"/>
      <c r="B20" s="2" t="s">
        <v>8</v>
      </c>
      <c r="C20" s="37">
        <v>12.9</v>
      </c>
      <c r="D20" s="37">
        <v>12.9</v>
      </c>
      <c r="E20" s="37">
        <v>12.9</v>
      </c>
      <c r="F20" s="37"/>
      <c r="G20" s="37">
        <v>12.9</v>
      </c>
      <c r="H20" s="37">
        <v>12.9</v>
      </c>
      <c r="I20" s="37">
        <v>12.9</v>
      </c>
      <c r="J20" s="37"/>
      <c r="K20" s="37"/>
      <c r="L20" s="46"/>
      <c r="M20" t="s">
        <v>67</v>
      </c>
    </row>
    <row r="21" spans="1:13" x14ac:dyDescent="0.3">
      <c r="A21" s="38"/>
      <c r="B21" s="2"/>
      <c r="C21" s="37"/>
      <c r="D21" s="37"/>
      <c r="E21" s="37"/>
      <c r="F21" s="37"/>
      <c r="G21" s="37"/>
      <c r="H21" s="37"/>
      <c r="I21" s="37"/>
      <c r="J21" s="4"/>
      <c r="K21" s="4"/>
      <c r="L21" s="12"/>
    </row>
    <row r="22" spans="1:13" x14ac:dyDescent="0.3">
      <c r="A22" s="39" t="s">
        <v>47</v>
      </c>
      <c r="B22" s="23" t="s">
        <v>42</v>
      </c>
      <c r="C22" s="45"/>
      <c r="D22" s="45"/>
      <c r="E22" s="45"/>
      <c r="F22" s="45"/>
      <c r="G22" s="45"/>
      <c r="H22" s="45"/>
      <c r="I22" s="45"/>
      <c r="J22" s="45"/>
      <c r="K22" s="45"/>
      <c r="L22" s="61"/>
      <c r="M22" t="s">
        <v>81</v>
      </c>
    </row>
    <row r="23" spans="1:13" x14ac:dyDescent="0.3">
      <c r="A23" s="11"/>
      <c r="B23" s="2" t="s">
        <v>26</v>
      </c>
      <c r="C23" s="47">
        <v>5.88</v>
      </c>
      <c r="D23" s="47">
        <v>5.88</v>
      </c>
      <c r="E23" s="47">
        <v>5.88</v>
      </c>
      <c r="F23" s="47">
        <v>5.88</v>
      </c>
      <c r="G23" s="47">
        <v>5.88</v>
      </c>
      <c r="H23" s="47">
        <v>5.88</v>
      </c>
      <c r="I23" s="47">
        <v>5.88</v>
      </c>
      <c r="J23" s="47">
        <v>5.88</v>
      </c>
      <c r="K23" s="47">
        <v>5.88</v>
      </c>
      <c r="L23" s="49">
        <f>K23</f>
        <v>5.88</v>
      </c>
    </row>
    <row r="24" spans="1:13" x14ac:dyDescent="0.3">
      <c r="A24" s="11"/>
      <c r="B24" s="2" t="s">
        <v>46</v>
      </c>
      <c r="C24" s="47">
        <v>6.38</v>
      </c>
      <c r="D24" s="47">
        <v>6.38</v>
      </c>
      <c r="E24" s="47">
        <v>6.38</v>
      </c>
      <c r="F24" s="47">
        <v>6.38</v>
      </c>
      <c r="G24" s="47">
        <v>6.38</v>
      </c>
      <c r="H24" s="47">
        <v>6.38</v>
      </c>
      <c r="I24" s="47">
        <v>6.38</v>
      </c>
      <c r="J24" s="47">
        <v>6.38</v>
      </c>
      <c r="K24" s="47">
        <v>6.38</v>
      </c>
      <c r="L24" s="49">
        <f>K24</f>
        <v>6.38</v>
      </c>
    </row>
    <row r="25" spans="1:13" x14ac:dyDescent="0.3">
      <c r="A25" s="11"/>
      <c r="B25" s="2" t="s">
        <v>7</v>
      </c>
      <c r="C25" s="47">
        <v>15.3</v>
      </c>
      <c r="D25" s="47">
        <v>15.3</v>
      </c>
      <c r="E25" s="47">
        <v>15.3</v>
      </c>
      <c r="F25" s="48"/>
      <c r="G25" s="47">
        <v>15.3</v>
      </c>
      <c r="H25" s="47">
        <v>15.3</v>
      </c>
      <c r="I25" s="47">
        <v>15.3</v>
      </c>
      <c r="J25" s="47">
        <v>15.3</v>
      </c>
      <c r="K25" s="28"/>
      <c r="L25" s="29"/>
    </row>
    <row r="26" spans="1:13" x14ac:dyDescent="0.3">
      <c r="A26" s="183"/>
      <c r="B26" s="184"/>
      <c r="C26" s="60"/>
      <c r="D26" s="60"/>
      <c r="E26" s="60"/>
      <c r="F26" s="60"/>
      <c r="G26" s="60"/>
      <c r="H26" s="60"/>
      <c r="I26" s="60"/>
      <c r="J26" s="60"/>
      <c r="K26" s="60"/>
      <c r="L26" s="185"/>
    </row>
    <row r="27" spans="1:13" x14ac:dyDescent="0.3">
      <c r="A27" s="186" t="s">
        <v>151</v>
      </c>
      <c r="B27" s="63" t="s">
        <v>152</v>
      </c>
      <c r="C27" s="177"/>
      <c r="D27" s="177"/>
      <c r="E27" s="177"/>
      <c r="F27" s="177"/>
      <c r="G27" s="177"/>
      <c r="H27" s="177"/>
      <c r="I27" s="177"/>
      <c r="J27" s="177"/>
      <c r="K27" s="177"/>
      <c r="L27" s="178"/>
      <c r="M27" t="s">
        <v>153</v>
      </c>
    </row>
    <row r="28" spans="1:13" x14ac:dyDescent="0.3">
      <c r="A28" s="183"/>
      <c r="B28" s="184" t="s">
        <v>26</v>
      </c>
      <c r="C28" s="47">
        <v>4.4000000000000004</v>
      </c>
      <c r="D28" s="47">
        <v>4.4000000000000004</v>
      </c>
      <c r="E28" s="47">
        <v>4.4000000000000004</v>
      </c>
      <c r="F28" s="47">
        <v>4.4000000000000004</v>
      </c>
      <c r="G28" s="47">
        <v>4.4000000000000004</v>
      </c>
      <c r="H28" s="47">
        <v>4.4000000000000004</v>
      </c>
      <c r="I28" s="47">
        <v>4.4000000000000004</v>
      </c>
      <c r="J28" s="47">
        <v>4.4000000000000004</v>
      </c>
      <c r="K28" s="47">
        <v>4.4000000000000004</v>
      </c>
      <c r="L28" s="49">
        <f>K28</f>
        <v>4.4000000000000004</v>
      </c>
    </row>
    <row r="29" spans="1:13" x14ac:dyDescent="0.3">
      <c r="A29" s="183"/>
      <c r="B29" s="184" t="s">
        <v>46</v>
      </c>
      <c r="C29" s="47">
        <v>7.5</v>
      </c>
      <c r="D29" s="47">
        <v>7.5</v>
      </c>
      <c r="E29" s="47">
        <v>7.5</v>
      </c>
      <c r="F29" s="47">
        <v>7.5</v>
      </c>
      <c r="G29" s="47">
        <v>7.5</v>
      </c>
      <c r="H29" s="47">
        <v>7.5</v>
      </c>
      <c r="I29" s="47">
        <v>7.5</v>
      </c>
      <c r="J29" s="47">
        <v>7.5</v>
      </c>
      <c r="K29" s="47">
        <v>7.5</v>
      </c>
      <c r="L29" s="49">
        <f>K29</f>
        <v>7.5</v>
      </c>
    </row>
    <row r="30" spans="1:13" x14ac:dyDescent="0.3">
      <c r="A30" s="183"/>
      <c r="B30" s="2" t="s">
        <v>7</v>
      </c>
      <c r="C30" s="47">
        <v>14</v>
      </c>
      <c r="D30" s="47">
        <v>14</v>
      </c>
      <c r="E30" s="47">
        <v>14</v>
      </c>
      <c r="F30" s="48"/>
      <c r="G30" s="47">
        <v>14</v>
      </c>
      <c r="H30" s="47">
        <v>14</v>
      </c>
      <c r="I30" s="47">
        <v>14</v>
      </c>
      <c r="J30" s="48"/>
      <c r="K30" s="48"/>
      <c r="L30" s="36"/>
    </row>
    <row r="31" spans="1:13" x14ac:dyDescent="0.3">
      <c r="A31" s="11"/>
      <c r="B31" s="2"/>
      <c r="C31" s="50"/>
      <c r="D31" s="50"/>
      <c r="E31" s="50"/>
      <c r="F31" s="50"/>
      <c r="G31" s="50"/>
      <c r="H31" s="50"/>
      <c r="I31" s="50"/>
      <c r="J31" s="50"/>
      <c r="K31" s="4"/>
      <c r="L31" s="12"/>
    </row>
    <row r="32" spans="1:13" x14ac:dyDescent="0.3">
      <c r="A32" s="39" t="s">
        <v>25</v>
      </c>
      <c r="B32" s="23" t="s">
        <v>35</v>
      </c>
      <c r="C32" s="1" t="s">
        <v>0</v>
      </c>
      <c r="D32" s="1" t="s">
        <v>1</v>
      </c>
      <c r="E32" s="1" t="s">
        <v>2</v>
      </c>
      <c r="F32" s="1" t="s">
        <v>3</v>
      </c>
      <c r="G32" s="1" t="s">
        <v>0</v>
      </c>
      <c r="H32" s="1" t="s">
        <v>1</v>
      </c>
      <c r="I32" s="1" t="s">
        <v>2</v>
      </c>
      <c r="J32" s="1" t="s">
        <v>3</v>
      </c>
      <c r="K32" s="1" t="s">
        <v>4</v>
      </c>
      <c r="L32" s="40" t="s">
        <v>308</v>
      </c>
      <c r="M32" t="s">
        <v>80</v>
      </c>
    </row>
    <row r="33" spans="1:13" x14ac:dyDescent="0.3">
      <c r="A33" s="11"/>
      <c r="B33" s="2" t="s">
        <v>7</v>
      </c>
      <c r="C33" s="47">
        <v>14.2</v>
      </c>
      <c r="D33" s="47">
        <v>14.2</v>
      </c>
      <c r="E33" s="47">
        <v>14.2</v>
      </c>
      <c r="F33" s="48"/>
      <c r="G33" s="47">
        <v>14.2</v>
      </c>
      <c r="H33" s="47">
        <v>14.2</v>
      </c>
      <c r="I33" s="47">
        <v>14.2</v>
      </c>
      <c r="J33" s="28"/>
      <c r="K33" s="28"/>
      <c r="L33" s="29"/>
    </row>
    <row r="34" spans="1:13" x14ac:dyDescent="0.3">
      <c r="A34" s="11"/>
      <c r="B34" s="2" t="s">
        <v>61</v>
      </c>
      <c r="C34" s="47"/>
      <c r="D34" s="47">
        <f t="shared" ref="D34:K34" si="0">(7.9+9.6)/2</f>
        <v>8.75</v>
      </c>
      <c r="E34" s="47">
        <f t="shared" si="0"/>
        <v>8.75</v>
      </c>
      <c r="F34" s="47">
        <f t="shared" si="0"/>
        <v>8.75</v>
      </c>
      <c r="G34" s="47"/>
      <c r="H34" s="47">
        <f t="shared" si="0"/>
        <v>8.75</v>
      </c>
      <c r="I34" s="47">
        <f t="shared" si="0"/>
        <v>8.75</v>
      </c>
      <c r="J34" s="47">
        <f t="shared" si="0"/>
        <v>8.75</v>
      </c>
      <c r="K34" s="47">
        <f t="shared" si="0"/>
        <v>8.75</v>
      </c>
      <c r="L34" s="49">
        <f>K34</f>
        <v>8.75</v>
      </c>
    </row>
    <row r="35" spans="1:13" x14ac:dyDescent="0.3">
      <c r="A35" s="38"/>
      <c r="B35" s="2" t="s">
        <v>45</v>
      </c>
      <c r="C35" s="47">
        <v>15.6</v>
      </c>
      <c r="D35" s="47">
        <v>15.6</v>
      </c>
      <c r="E35" s="47"/>
      <c r="F35" s="47"/>
      <c r="G35" s="47">
        <v>15.6</v>
      </c>
      <c r="H35" s="47">
        <v>15.6</v>
      </c>
      <c r="I35" s="47"/>
      <c r="J35" s="47"/>
      <c r="K35" s="28"/>
      <c r="L35" s="29"/>
    </row>
    <row r="36" spans="1:13" x14ac:dyDescent="0.3">
      <c r="A36" s="11"/>
      <c r="B36" s="2" t="s">
        <v>62</v>
      </c>
      <c r="C36" s="47">
        <v>3.9</v>
      </c>
      <c r="D36" s="47">
        <v>3.9</v>
      </c>
      <c r="E36" s="47">
        <v>3.9</v>
      </c>
      <c r="F36" s="47">
        <v>3.9</v>
      </c>
      <c r="G36" s="47">
        <v>3.9</v>
      </c>
      <c r="H36" s="47">
        <v>3.9</v>
      </c>
      <c r="I36" s="47">
        <v>3.9</v>
      </c>
      <c r="J36" s="47">
        <v>3.9</v>
      </c>
      <c r="K36" s="47">
        <v>3.9</v>
      </c>
      <c r="L36" s="49">
        <f>K36</f>
        <v>3.9</v>
      </c>
    </row>
    <row r="37" spans="1:13" x14ac:dyDescent="0.3">
      <c r="A37" s="11"/>
      <c r="B37" s="2"/>
      <c r="C37" s="47"/>
      <c r="D37" s="47"/>
      <c r="E37" s="47"/>
      <c r="F37" s="47"/>
      <c r="G37" s="47"/>
      <c r="H37" s="47"/>
      <c r="I37" s="47"/>
      <c r="J37" s="4"/>
      <c r="K37" s="4"/>
      <c r="L37" s="12"/>
    </row>
    <row r="38" spans="1:13" x14ac:dyDescent="0.3">
      <c r="A38" s="39" t="s">
        <v>20</v>
      </c>
      <c r="B38" s="23" t="s">
        <v>35</v>
      </c>
      <c r="C38" s="1" t="s">
        <v>23</v>
      </c>
      <c r="D38" s="23"/>
      <c r="E38" s="1" t="s">
        <v>10</v>
      </c>
      <c r="F38" s="1" t="s">
        <v>10</v>
      </c>
      <c r="G38" s="1" t="s">
        <v>23</v>
      </c>
      <c r="H38" s="23"/>
      <c r="I38" s="1" t="s">
        <v>10</v>
      </c>
      <c r="J38" s="1" t="s">
        <v>10</v>
      </c>
      <c r="K38" s="23"/>
      <c r="L38" s="43"/>
    </row>
    <row r="39" spans="1:13" ht="15" customHeight="1" x14ac:dyDescent="0.3">
      <c r="A39" s="11"/>
      <c r="B39" s="2" t="s">
        <v>83</v>
      </c>
      <c r="C39" s="4">
        <v>19.170000000000002</v>
      </c>
      <c r="F39" s="42"/>
      <c r="G39" s="37">
        <v>19.170000000000002</v>
      </c>
      <c r="J39" s="42"/>
      <c r="K39" s="42"/>
      <c r="L39" s="44"/>
      <c r="M39" t="s">
        <v>64</v>
      </c>
    </row>
    <row r="40" spans="1:13" x14ac:dyDescent="0.3">
      <c r="A40" s="11"/>
      <c r="B40" s="2" t="s">
        <v>61</v>
      </c>
      <c r="E40" s="60">
        <v>7.02</v>
      </c>
      <c r="F40" s="60">
        <v>7.02</v>
      </c>
      <c r="I40" s="4">
        <v>7.02</v>
      </c>
      <c r="J40" s="4">
        <v>7.02</v>
      </c>
      <c r="L40" s="31"/>
      <c r="M40" t="s">
        <v>64</v>
      </c>
    </row>
    <row r="41" spans="1:13" x14ac:dyDescent="0.3">
      <c r="A41" s="11"/>
      <c r="B41" s="2"/>
      <c r="E41" s="60"/>
      <c r="F41" s="60"/>
      <c r="I41" s="4"/>
      <c r="J41" s="4"/>
      <c r="L41" s="31"/>
    </row>
    <row r="42" spans="1:13" x14ac:dyDescent="0.3">
      <c r="A42" s="39" t="s">
        <v>145</v>
      </c>
      <c r="B42" s="23" t="s">
        <v>35</v>
      </c>
      <c r="C42" s="179"/>
      <c r="D42" s="179"/>
      <c r="E42" s="179" t="s">
        <v>149</v>
      </c>
      <c r="F42" s="179"/>
      <c r="G42" s="179"/>
      <c r="H42" s="179"/>
      <c r="I42" s="179"/>
      <c r="J42" s="179"/>
      <c r="K42" s="179"/>
      <c r="L42" s="180"/>
    </row>
    <row r="43" spans="1:13" x14ac:dyDescent="0.3">
      <c r="A43" s="11"/>
      <c r="B43" s="2" t="s">
        <v>148</v>
      </c>
      <c r="C43" s="37"/>
      <c r="D43" s="37"/>
      <c r="E43" s="60">
        <f>5188/600</f>
        <v>8.6466666666666665</v>
      </c>
      <c r="F43" s="60">
        <f>5188/600</f>
        <v>8.6466666666666665</v>
      </c>
      <c r="G43" s="37"/>
      <c r="H43" s="37"/>
      <c r="I43" s="60">
        <f>5188/600</f>
        <v>8.6466666666666665</v>
      </c>
      <c r="J43" s="60">
        <f>5188/600</f>
        <v>8.6466666666666665</v>
      </c>
      <c r="K43" s="4"/>
      <c r="L43" s="12"/>
    </row>
    <row r="44" spans="1:13" x14ac:dyDescent="0.3">
      <c r="A44" s="38"/>
      <c r="B44" s="2"/>
      <c r="E44" s="4"/>
      <c r="F44" s="4"/>
      <c r="I44" s="4"/>
      <c r="L44" s="31"/>
    </row>
    <row r="45" spans="1:13" x14ac:dyDescent="0.3">
      <c r="A45" s="39" t="s">
        <v>19</v>
      </c>
      <c r="B45" s="23" t="s">
        <v>32</v>
      </c>
      <c r="C45" s="51"/>
      <c r="D45" s="192" t="s">
        <v>9</v>
      </c>
      <c r="E45" s="192" t="s">
        <v>10</v>
      </c>
      <c r="F45" s="192" t="s">
        <v>79</v>
      </c>
      <c r="G45" s="192"/>
      <c r="H45" s="192" t="s">
        <v>9</v>
      </c>
      <c r="I45" s="192" t="s">
        <v>10</v>
      </c>
      <c r="J45" s="192" t="s">
        <v>18</v>
      </c>
      <c r="K45" s="192"/>
      <c r="L45" s="193"/>
    </row>
    <row r="46" spans="1:13" x14ac:dyDescent="0.3">
      <c r="A46" s="11"/>
      <c r="B46" s="2" t="s">
        <v>48</v>
      </c>
      <c r="C46" s="47">
        <v>16.818333333333332</v>
      </c>
      <c r="D46" s="4">
        <v>16.818333333333332</v>
      </c>
      <c r="E46" s="4">
        <v>15.528333333333334</v>
      </c>
      <c r="F46" s="4">
        <v>15.023333333333333</v>
      </c>
      <c r="G46" s="47">
        <v>16.818333333333332</v>
      </c>
      <c r="H46" s="4">
        <v>16.818333333333332</v>
      </c>
      <c r="I46" s="4">
        <v>15.528333333333334</v>
      </c>
      <c r="J46" s="4">
        <v>15.023333333333333</v>
      </c>
      <c r="K46" s="4"/>
      <c r="L46" s="12"/>
      <c r="M46" t="s">
        <v>68</v>
      </c>
    </row>
    <row r="47" spans="1:13" x14ac:dyDescent="0.3">
      <c r="A47" s="11"/>
      <c r="B47" s="2"/>
      <c r="C47" s="47"/>
      <c r="D47" s="4"/>
      <c r="E47" s="4"/>
      <c r="F47" s="4"/>
      <c r="G47" s="47"/>
      <c r="H47" s="4"/>
      <c r="I47" s="4"/>
      <c r="J47" s="4"/>
      <c r="K47" s="4"/>
      <c r="L47" s="12"/>
    </row>
    <row r="48" spans="1:13" x14ac:dyDescent="0.3">
      <c r="A48" s="39" t="s">
        <v>242</v>
      </c>
      <c r="B48" s="23" t="s">
        <v>42</v>
      </c>
      <c r="C48" s="1" t="s">
        <v>0</v>
      </c>
      <c r="D48" s="1" t="s">
        <v>1</v>
      </c>
      <c r="E48" s="1" t="s">
        <v>2</v>
      </c>
      <c r="F48" s="1" t="s">
        <v>3</v>
      </c>
      <c r="G48" s="1" t="s">
        <v>0</v>
      </c>
      <c r="H48" s="1" t="s">
        <v>1</v>
      </c>
      <c r="I48" s="1" t="s">
        <v>2</v>
      </c>
      <c r="J48" s="1" t="s">
        <v>3</v>
      </c>
      <c r="K48" s="1" t="s">
        <v>4</v>
      </c>
      <c r="L48" s="40"/>
      <c r="M48" s="30" t="s">
        <v>177</v>
      </c>
    </row>
    <row r="49" spans="1:15" x14ac:dyDescent="0.3">
      <c r="A49" s="11"/>
      <c r="B49" s="184" t="s">
        <v>26</v>
      </c>
      <c r="C49" s="60">
        <v>7.9250000000000007</v>
      </c>
      <c r="D49" s="60">
        <v>4.7776923076923072</v>
      </c>
      <c r="E49" s="60">
        <v>3.5442857142857145</v>
      </c>
      <c r="F49" s="60"/>
      <c r="G49" s="60" t="s">
        <v>178</v>
      </c>
      <c r="H49" s="60" t="s">
        <v>178</v>
      </c>
      <c r="I49" s="60">
        <v>3.9500000000000006</v>
      </c>
      <c r="J49" s="60">
        <v>2.2566666666666664</v>
      </c>
      <c r="K49" s="60"/>
      <c r="L49" s="185"/>
    </row>
    <row r="50" spans="1:15" x14ac:dyDescent="0.3">
      <c r="A50" s="11"/>
      <c r="B50" s="184" t="s">
        <v>7</v>
      </c>
      <c r="C50" s="60">
        <v>17.409411764705887</v>
      </c>
      <c r="D50" s="60">
        <v>10.130000000000001</v>
      </c>
      <c r="F50" s="42"/>
      <c r="G50" s="60">
        <v>10.914999999999999</v>
      </c>
      <c r="H50" s="60">
        <v>10.719285714285714</v>
      </c>
      <c r="I50" s="60" t="s">
        <v>178</v>
      </c>
      <c r="J50" s="42"/>
      <c r="K50" s="42"/>
      <c r="L50" s="44"/>
    </row>
    <row r="51" spans="1:15" x14ac:dyDescent="0.3">
      <c r="A51" s="11"/>
      <c r="B51" s="63" t="s">
        <v>175</v>
      </c>
      <c r="C51" s="1" t="s">
        <v>0</v>
      </c>
      <c r="D51" s="1" t="s">
        <v>1</v>
      </c>
      <c r="E51" s="1" t="s">
        <v>2</v>
      </c>
      <c r="F51" s="1" t="s">
        <v>3</v>
      </c>
      <c r="G51" s="1" t="s">
        <v>0</v>
      </c>
      <c r="H51" s="1" t="s">
        <v>1</v>
      </c>
      <c r="I51" s="1" t="s">
        <v>2</v>
      </c>
      <c r="J51" s="1" t="s">
        <v>3</v>
      </c>
      <c r="K51" s="1" t="s">
        <v>4</v>
      </c>
      <c r="L51" s="40" t="s">
        <v>308</v>
      </c>
      <c r="M51" s="30" t="s">
        <v>177</v>
      </c>
    </row>
    <row r="52" spans="1:15" x14ac:dyDescent="0.3">
      <c r="A52" s="11"/>
      <c r="B52" s="184" t="s">
        <v>108</v>
      </c>
      <c r="C52" s="60">
        <v>21.775753207499999</v>
      </c>
      <c r="D52" s="60">
        <v>12.813032392866665</v>
      </c>
      <c r="E52" s="60" t="s">
        <v>178</v>
      </c>
      <c r="F52" s="181" t="s">
        <v>178</v>
      </c>
      <c r="G52" s="60">
        <v>20.051626598333335</v>
      </c>
      <c r="H52" s="60">
        <v>12.087408123937498</v>
      </c>
      <c r="I52" s="60" t="s">
        <v>178</v>
      </c>
      <c r="J52" s="181" t="s">
        <v>178</v>
      </c>
      <c r="K52" s="181"/>
      <c r="L52" s="182"/>
    </row>
    <row r="53" spans="1:15" x14ac:dyDescent="0.3">
      <c r="A53" s="11"/>
      <c r="B53" s="184" t="s">
        <v>8</v>
      </c>
      <c r="C53" s="60">
        <v>12.783047955857143</v>
      </c>
      <c r="D53" s="60">
        <v>7.9486807404999986</v>
      </c>
      <c r="E53" s="60">
        <v>6.0990078469999993</v>
      </c>
      <c r="F53" s="60">
        <v>4.6829645319999997</v>
      </c>
      <c r="G53" s="60">
        <v>13.296666569999999</v>
      </c>
      <c r="H53" s="60">
        <v>8.3271237907777778</v>
      </c>
      <c r="I53" s="60">
        <v>6.1334536726</v>
      </c>
      <c r="J53" s="60">
        <v>4.6829645319999997</v>
      </c>
      <c r="K53" s="47">
        <f>J53</f>
        <v>4.6829645319999997</v>
      </c>
      <c r="L53" s="49">
        <f>J53</f>
        <v>4.6829645319999997</v>
      </c>
    </row>
    <row r="54" spans="1:15" x14ac:dyDescent="0.3">
      <c r="A54" s="11"/>
      <c r="B54" s="184" t="s">
        <v>7</v>
      </c>
      <c r="C54" s="60">
        <v>20.77034792769231</v>
      </c>
      <c r="D54" s="60">
        <v>11.5678494909</v>
      </c>
      <c r="F54" s="42"/>
      <c r="G54" s="60">
        <v>16.7150905313</v>
      </c>
      <c r="H54" s="60">
        <v>11.932976157933334</v>
      </c>
      <c r="I54" s="60" t="s">
        <v>178</v>
      </c>
      <c r="J54" s="42"/>
      <c r="K54" s="42"/>
      <c r="L54" s="44"/>
    </row>
    <row r="55" spans="1:15" x14ac:dyDescent="0.3">
      <c r="A55" s="11"/>
      <c r="B55" s="63" t="s">
        <v>35</v>
      </c>
      <c r="C55" s="1" t="s">
        <v>0</v>
      </c>
      <c r="D55" s="1" t="s">
        <v>1</v>
      </c>
      <c r="E55" s="1" t="s">
        <v>2</v>
      </c>
      <c r="F55" s="1" t="s">
        <v>3</v>
      </c>
      <c r="G55" s="1" t="s">
        <v>0</v>
      </c>
      <c r="H55" s="1" t="s">
        <v>1</v>
      </c>
      <c r="I55" s="1" t="s">
        <v>2</v>
      </c>
      <c r="J55" s="1" t="s">
        <v>3</v>
      </c>
      <c r="K55" s="1" t="s">
        <v>4</v>
      </c>
      <c r="L55" s="40" t="s">
        <v>308</v>
      </c>
      <c r="M55" s="30" t="s">
        <v>176</v>
      </c>
    </row>
    <row r="56" spans="1:15" x14ac:dyDescent="0.3">
      <c r="A56" s="11"/>
      <c r="B56" s="2" t="s">
        <v>26</v>
      </c>
      <c r="C56" s="60">
        <v>8.3333333330000006</v>
      </c>
      <c r="D56" s="60">
        <v>7.8766983446363632</v>
      </c>
      <c r="E56" s="60">
        <v>5.2992064978749998</v>
      </c>
      <c r="F56" s="60">
        <v>4.2856985605000002</v>
      </c>
      <c r="G56" s="60" t="s">
        <v>178</v>
      </c>
      <c r="H56" s="60" t="s">
        <v>178</v>
      </c>
      <c r="I56" s="60" t="s">
        <v>178</v>
      </c>
      <c r="J56" s="60">
        <v>3.1557809856666665</v>
      </c>
      <c r="K56" s="60">
        <v>2.8626505473333332</v>
      </c>
      <c r="L56" s="49">
        <f>K56</f>
        <v>2.8626505473333332</v>
      </c>
    </row>
    <row r="57" spans="1:15" x14ac:dyDescent="0.3">
      <c r="A57" s="11"/>
      <c r="B57" s="2" t="s">
        <v>45</v>
      </c>
      <c r="C57" s="60">
        <v>19.333333329999999</v>
      </c>
      <c r="D57" s="60">
        <v>13.274231086499999</v>
      </c>
      <c r="E57" s="60" t="s">
        <v>178</v>
      </c>
      <c r="F57" s="60" t="s">
        <v>178</v>
      </c>
      <c r="G57" s="60">
        <v>20.106382979999999</v>
      </c>
      <c r="H57" s="60">
        <v>6.5365668814999998</v>
      </c>
      <c r="I57" s="60" t="s">
        <v>178</v>
      </c>
      <c r="J57" s="60" t="s">
        <v>178</v>
      </c>
      <c r="K57" s="181" t="s">
        <v>178</v>
      </c>
      <c r="L57" s="182"/>
    </row>
    <row r="58" spans="1:15" x14ac:dyDescent="0.3">
      <c r="A58" s="11"/>
      <c r="B58" s="2" t="s">
        <v>179</v>
      </c>
      <c r="C58" s="60">
        <v>11.244470708600002</v>
      </c>
      <c r="D58" s="60">
        <v>8.6675427060000008</v>
      </c>
      <c r="E58" s="60">
        <v>7.1604680281666662</v>
      </c>
      <c r="F58" s="60">
        <v>4.6341463410000001</v>
      </c>
      <c r="G58" s="60" t="s">
        <v>178</v>
      </c>
      <c r="H58" s="60" t="s">
        <v>178</v>
      </c>
      <c r="I58" s="60">
        <v>5.1277704132222226</v>
      </c>
      <c r="J58" s="60">
        <v>4.732246590099999</v>
      </c>
      <c r="K58" s="60">
        <v>4.1447368420000004</v>
      </c>
      <c r="L58" s="49">
        <f>K58</f>
        <v>4.1447368420000004</v>
      </c>
    </row>
    <row r="59" spans="1:15" ht="15" customHeight="1" x14ac:dyDescent="0.3">
      <c r="B59" s="2" t="s">
        <v>7</v>
      </c>
      <c r="C59" s="60">
        <v>23.256285431764709</v>
      </c>
      <c r="D59" s="60">
        <v>19.641096845</v>
      </c>
      <c r="E59" s="4"/>
      <c r="F59" s="28"/>
      <c r="G59" s="60" t="s">
        <v>178</v>
      </c>
      <c r="H59" s="60">
        <v>15.193160556052629</v>
      </c>
      <c r="I59" s="60" t="s">
        <v>178</v>
      </c>
      <c r="J59" s="28"/>
      <c r="K59" s="42"/>
      <c r="L59" s="44"/>
      <c r="M59" s="25"/>
    </row>
    <row r="60" spans="1:15" ht="15" customHeight="1" x14ac:dyDescent="0.3">
      <c r="B60" s="2"/>
      <c r="C60" s="60"/>
      <c r="D60" s="60"/>
      <c r="E60" s="4"/>
      <c r="F60" s="4"/>
      <c r="G60" s="60"/>
      <c r="H60" s="60"/>
      <c r="I60" s="60"/>
      <c r="J60" s="4"/>
      <c r="L60" s="31"/>
    </row>
    <row r="61" spans="1:15" ht="15" customHeight="1" x14ac:dyDescent="0.3">
      <c r="A61" s="63" t="s">
        <v>243</v>
      </c>
      <c r="B61" s="23" t="s">
        <v>34</v>
      </c>
      <c r="C61" s="1">
        <v>15</v>
      </c>
      <c r="D61" s="1">
        <v>25</v>
      </c>
      <c r="E61" s="1">
        <v>35</v>
      </c>
      <c r="F61" s="1">
        <v>45</v>
      </c>
      <c r="G61" s="1">
        <v>15</v>
      </c>
      <c r="H61" s="1">
        <v>25</v>
      </c>
      <c r="I61" s="1">
        <v>35</v>
      </c>
      <c r="J61" s="1">
        <v>45</v>
      </c>
      <c r="K61" s="1">
        <v>55</v>
      </c>
      <c r="L61" s="40">
        <v>65</v>
      </c>
      <c r="M61" s="30" t="s">
        <v>237</v>
      </c>
      <c r="N61" s="1" t="s">
        <v>138</v>
      </c>
      <c r="O61" s="1" t="s">
        <v>139</v>
      </c>
    </row>
    <row r="62" spans="1:15" ht="15" customHeight="1" x14ac:dyDescent="0.3">
      <c r="B62" s="2" t="s">
        <v>129</v>
      </c>
      <c r="C62" s="60">
        <f>$N62*C$61^$O62</f>
        <v>5.9877149883697616</v>
      </c>
      <c r="D62" s="60">
        <f t="shared" ref="D62:K64" si="1">$N62*D$61^$O62</f>
        <v>5.520611284553719</v>
      </c>
      <c r="E62" s="60">
        <f t="shared" si="1"/>
        <v>5.233025019557827</v>
      </c>
      <c r="F62" s="60">
        <f t="shared" si="1"/>
        <v>5.0280413487613291</v>
      </c>
      <c r="G62" s="60">
        <f t="shared" si="1"/>
        <v>5.9877149883697616</v>
      </c>
      <c r="H62" s="60">
        <f t="shared" si="1"/>
        <v>5.520611284553719</v>
      </c>
      <c r="I62" s="60">
        <f t="shared" si="1"/>
        <v>5.233025019557827</v>
      </c>
      <c r="J62" s="4">
        <f t="shared" si="1"/>
        <v>5.0280413487613291</v>
      </c>
      <c r="K62" s="4">
        <f t="shared" si="1"/>
        <v>4.8701457940123589</v>
      </c>
      <c r="L62" s="12">
        <f>$N62*L$61^$O62</f>
        <v>4.7424898108766858</v>
      </c>
      <c r="M62" s="25" t="s">
        <v>239</v>
      </c>
      <c r="N62">
        <v>9.2100000000000009</v>
      </c>
      <c r="O62">
        <v>-0.159</v>
      </c>
    </row>
    <row r="63" spans="1:15" ht="15" customHeight="1" x14ac:dyDescent="0.3">
      <c r="B63" s="2" t="s">
        <v>8</v>
      </c>
      <c r="C63" s="60">
        <f>$N63*C$61^$O63</f>
        <v>14.05534095857703</v>
      </c>
      <c r="D63" s="60">
        <f t="shared" si="1"/>
        <v>11.475389403432468</v>
      </c>
      <c r="E63" s="4">
        <f t="shared" si="1"/>
        <v>10.040482916620686</v>
      </c>
      <c r="F63" s="4">
        <f t="shared" si="1"/>
        <v>9.0870778180492753</v>
      </c>
      <c r="G63" s="60">
        <f t="shared" si="1"/>
        <v>14.05534095857703</v>
      </c>
      <c r="H63" s="60">
        <f t="shared" si="1"/>
        <v>11.475389403432468</v>
      </c>
      <c r="I63" s="60">
        <f t="shared" si="1"/>
        <v>10.040482916620686</v>
      </c>
      <c r="J63" s="4">
        <f t="shared" si="1"/>
        <v>9.0870778180492753</v>
      </c>
      <c r="K63" s="4">
        <f>$N63*K$61^$O63</f>
        <v>8.3912300454217892</v>
      </c>
      <c r="L63" s="12">
        <f>$N63*L$61^$O63</f>
        <v>7.8527724409623456</v>
      </c>
      <c r="M63" s="25" t="s">
        <v>239</v>
      </c>
      <c r="N63">
        <v>41.186</v>
      </c>
      <c r="O63">
        <v>-0.39700000000000002</v>
      </c>
    </row>
    <row r="64" spans="1:15" ht="15" customHeight="1" x14ac:dyDescent="0.3">
      <c r="A64" s="225"/>
      <c r="B64" s="6" t="s">
        <v>7</v>
      </c>
      <c r="C64" s="196">
        <f>$N64*C$61^$O64</f>
        <v>19.918006748544872</v>
      </c>
      <c r="D64" s="196">
        <f t="shared" si="1"/>
        <v>15.570938086888626</v>
      </c>
      <c r="E64" s="9">
        <f t="shared" si="1"/>
        <v>13.239789023741148</v>
      </c>
      <c r="F64" s="26"/>
      <c r="G64" s="196">
        <f t="shared" si="1"/>
        <v>19.918006748544872</v>
      </c>
      <c r="H64" s="196">
        <f t="shared" si="1"/>
        <v>15.570938086888626</v>
      </c>
      <c r="I64" s="196">
        <f t="shared" si="1"/>
        <v>13.239789023741148</v>
      </c>
      <c r="J64" s="26" t="s">
        <v>178</v>
      </c>
      <c r="K64" s="231" t="s">
        <v>178</v>
      </c>
      <c r="L64" s="195"/>
      <c r="M64" s="25" t="s">
        <v>239</v>
      </c>
      <c r="N64">
        <v>73.471999999999994</v>
      </c>
      <c r="O64">
        <v>-0.48199999999999998</v>
      </c>
    </row>
    <row r="65" spans="1:13" ht="15" customHeight="1" x14ac:dyDescent="0.3">
      <c r="J65" s="24"/>
      <c r="K65" s="4"/>
      <c r="L65" s="4"/>
      <c r="M65" s="25"/>
    </row>
    <row r="66" spans="1:13" ht="21.75" customHeight="1" x14ac:dyDescent="0.35">
      <c r="A66" s="316" t="s">
        <v>38</v>
      </c>
      <c r="B66" s="317"/>
      <c r="C66" s="313" t="s">
        <v>11</v>
      </c>
      <c r="D66" s="314"/>
      <c r="E66" s="314"/>
      <c r="F66" s="315"/>
      <c r="G66" s="320" t="s">
        <v>12</v>
      </c>
      <c r="H66" s="321"/>
      <c r="I66" s="321"/>
      <c r="J66" s="321"/>
      <c r="K66" s="321"/>
      <c r="L66" s="315"/>
      <c r="M66" t="s">
        <v>57</v>
      </c>
    </row>
    <row r="67" spans="1:13" x14ac:dyDescent="0.3">
      <c r="A67" s="68" t="s">
        <v>24</v>
      </c>
      <c r="B67" s="69" t="s">
        <v>88</v>
      </c>
      <c r="C67" s="19" t="s">
        <v>0</v>
      </c>
      <c r="D67" s="20" t="s">
        <v>1</v>
      </c>
      <c r="E67" s="20" t="s">
        <v>2</v>
      </c>
      <c r="F67" s="21" t="s">
        <v>3</v>
      </c>
      <c r="G67" s="3" t="s">
        <v>0</v>
      </c>
      <c r="H67" s="3" t="s">
        <v>1</v>
      </c>
      <c r="I67" s="3" t="s">
        <v>2</v>
      </c>
      <c r="J67" s="3" t="s">
        <v>3</v>
      </c>
      <c r="K67" s="3" t="s">
        <v>4</v>
      </c>
      <c r="L67" s="21" t="s">
        <v>307</v>
      </c>
      <c r="M67" t="s">
        <v>40</v>
      </c>
    </row>
    <row r="68" spans="1:13" x14ac:dyDescent="0.3">
      <c r="A68" s="33" t="s">
        <v>6</v>
      </c>
      <c r="B68" s="34" t="s">
        <v>31</v>
      </c>
      <c r="C68" s="35" t="s">
        <v>14</v>
      </c>
      <c r="D68" s="35" t="s">
        <v>13</v>
      </c>
      <c r="E68" s="35" t="s">
        <v>15</v>
      </c>
      <c r="F68" s="35" t="s">
        <v>15</v>
      </c>
      <c r="G68" s="35" t="s">
        <v>14</v>
      </c>
      <c r="H68" s="35" t="s">
        <v>13</v>
      </c>
      <c r="I68" s="35" t="s">
        <v>15</v>
      </c>
      <c r="J68" s="35" t="s">
        <v>15</v>
      </c>
      <c r="K68" s="35" t="s">
        <v>16</v>
      </c>
      <c r="L68" s="40"/>
      <c r="M68" s="30" t="s">
        <v>66</v>
      </c>
    </row>
    <row r="69" spans="1:13" x14ac:dyDescent="0.3">
      <c r="A69" s="11"/>
      <c r="B69" s="2" t="s">
        <v>27</v>
      </c>
      <c r="C69" s="4">
        <v>8.9779999999999998</v>
      </c>
      <c r="D69" s="4">
        <v>14.75</v>
      </c>
      <c r="E69" s="37">
        <v>15.493</v>
      </c>
      <c r="F69" s="37">
        <v>15.493</v>
      </c>
      <c r="G69" s="37">
        <v>8.9779999999999998</v>
      </c>
      <c r="H69" s="4">
        <v>6.55</v>
      </c>
      <c r="I69" s="4">
        <v>15.493</v>
      </c>
      <c r="J69" s="4">
        <v>15.493</v>
      </c>
      <c r="K69" s="47">
        <f>J69</f>
        <v>15.493</v>
      </c>
      <c r="L69" s="29"/>
    </row>
    <row r="70" spans="1:13" ht="15" customHeight="1" x14ac:dyDescent="0.3">
      <c r="A70" s="11"/>
      <c r="B70" s="2" t="s">
        <v>22</v>
      </c>
      <c r="C70" s="4">
        <v>23.172999999999998</v>
      </c>
      <c r="D70" s="4">
        <v>26.77</v>
      </c>
      <c r="E70" s="37">
        <v>31.533000000000001</v>
      </c>
      <c r="F70" s="4"/>
      <c r="G70" s="37">
        <v>23.172999999999998</v>
      </c>
      <c r="H70" s="4">
        <v>13.04</v>
      </c>
      <c r="I70" s="4">
        <v>31.533000000000001</v>
      </c>
      <c r="J70" s="4"/>
      <c r="K70" s="28"/>
      <c r="L70" s="29"/>
    </row>
    <row r="71" spans="1:13" x14ac:dyDescent="0.3">
      <c r="A71" s="11"/>
      <c r="B71" s="2" t="s">
        <v>17</v>
      </c>
      <c r="C71" s="4">
        <v>5.43</v>
      </c>
      <c r="D71" s="4">
        <v>6.76</v>
      </c>
      <c r="E71" s="4">
        <v>16.079999999999998</v>
      </c>
      <c r="F71" s="4">
        <v>16.079999999999998</v>
      </c>
      <c r="G71" s="37">
        <v>6.51</v>
      </c>
      <c r="H71" s="37">
        <v>9.7100000000000009</v>
      </c>
      <c r="I71" s="4">
        <v>11.802</v>
      </c>
      <c r="J71" s="4">
        <v>11.802</v>
      </c>
      <c r="K71" s="4">
        <v>7.79</v>
      </c>
      <c r="L71" s="49">
        <f>K71</f>
        <v>7.79</v>
      </c>
    </row>
    <row r="72" spans="1:13" x14ac:dyDescent="0.3">
      <c r="A72" s="11"/>
      <c r="B72" s="2" t="s">
        <v>28</v>
      </c>
      <c r="C72" s="4">
        <v>29.19</v>
      </c>
      <c r="D72" s="4">
        <v>32.426000000000002</v>
      </c>
      <c r="E72" s="4"/>
      <c r="F72" s="28"/>
      <c r="G72" s="37">
        <v>29.184999999999999</v>
      </c>
      <c r="H72" s="37">
        <v>32.426000000000002</v>
      </c>
      <c r="I72" s="4"/>
      <c r="J72" s="28"/>
      <c r="K72" s="28"/>
      <c r="L72" s="29"/>
    </row>
    <row r="73" spans="1:13" x14ac:dyDescent="0.3">
      <c r="A73" s="11"/>
      <c r="B73" s="2"/>
      <c r="C73" s="4"/>
      <c r="D73" s="4"/>
      <c r="E73" s="4"/>
      <c r="F73" s="4"/>
      <c r="G73" s="4"/>
      <c r="H73" s="4"/>
      <c r="I73" s="4"/>
      <c r="J73" s="4"/>
      <c r="K73" s="4"/>
      <c r="L73" s="12"/>
    </row>
    <row r="74" spans="1:13" x14ac:dyDescent="0.3">
      <c r="A74" s="186" t="s">
        <v>36</v>
      </c>
      <c r="B74" s="63" t="s">
        <v>37</v>
      </c>
      <c r="C74" s="1" t="s">
        <v>0</v>
      </c>
      <c r="D74" s="1" t="s">
        <v>1</v>
      </c>
      <c r="E74" s="1" t="s">
        <v>2</v>
      </c>
      <c r="F74" s="1" t="s">
        <v>3</v>
      </c>
      <c r="G74" s="1" t="s">
        <v>0</v>
      </c>
      <c r="H74" s="1" t="s">
        <v>1</v>
      </c>
      <c r="I74" s="1" t="s">
        <v>2</v>
      </c>
      <c r="J74" s="1" t="s">
        <v>3</v>
      </c>
      <c r="K74" s="1" t="s">
        <v>3</v>
      </c>
      <c r="L74" s="40"/>
    </row>
    <row r="75" spans="1:13" x14ac:dyDescent="0.3">
      <c r="A75" s="11"/>
      <c r="B75" s="2" t="s">
        <v>27</v>
      </c>
      <c r="C75" s="4">
        <v>29</v>
      </c>
      <c r="D75" s="4">
        <v>24.55</v>
      </c>
      <c r="E75" s="37">
        <v>17.170000000000002</v>
      </c>
      <c r="F75" s="4"/>
      <c r="G75" s="4"/>
      <c r="H75" s="4">
        <v>19.64</v>
      </c>
      <c r="I75" s="4">
        <v>17.170000000000002</v>
      </c>
      <c r="J75" s="4"/>
      <c r="K75" s="28"/>
      <c r="L75" s="29"/>
    </row>
    <row r="76" spans="1:13" x14ac:dyDescent="0.3">
      <c r="A76" s="11"/>
      <c r="B76" s="2" t="s">
        <v>22</v>
      </c>
      <c r="C76" s="4"/>
      <c r="D76" s="4"/>
      <c r="E76" s="37">
        <v>19.23</v>
      </c>
      <c r="F76" s="4"/>
      <c r="G76" s="4"/>
      <c r="H76" s="4"/>
      <c r="I76" s="4">
        <v>19.23</v>
      </c>
      <c r="J76" s="4"/>
      <c r="K76" s="28"/>
      <c r="L76" s="29"/>
    </row>
    <row r="77" spans="1:13" x14ac:dyDescent="0.3">
      <c r="A77" s="11"/>
      <c r="B77" s="2" t="s">
        <v>17</v>
      </c>
      <c r="C77" s="4">
        <v>22.74</v>
      </c>
      <c r="D77" s="4">
        <v>18.899999999999999</v>
      </c>
      <c r="E77" s="4">
        <v>12.67</v>
      </c>
      <c r="F77" s="37">
        <v>12.3</v>
      </c>
      <c r="G77" s="37">
        <v>22.74</v>
      </c>
      <c r="H77" s="37">
        <v>18.899999999999999</v>
      </c>
      <c r="I77" s="4">
        <v>20</v>
      </c>
      <c r="J77" s="4">
        <v>12.3</v>
      </c>
      <c r="K77" s="4"/>
      <c r="L77" s="12"/>
    </row>
    <row r="78" spans="1:13" x14ac:dyDescent="0.3">
      <c r="A78" s="11"/>
      <c r="B78" s="2" t="s">
        <v>29</v>
      </c>
      <c r="C78" s="4"/>
      <c r="D78" s="4">
        <v>22.52</v>
      </c>
      <c r="E78" s="4"/>
      <c r="F78" s="4"/>
      <c r="G78" s="4"/>
      <c r="H78" s="37">
        <v>22.52</v>
      </c>
      <c r="I78" s="4"/>
      <c r="J78" s="4"/>
      <c r="K78" s="4"/>
      <c r="L78" s="12"/>
    </row>
    <row r="79" spans="1:13" x14ac:dyDescent="0.3">
      <c r="A79" s="11"/>
      <c r="B79" s="2" t="s">
        <v>30</v>
      </c>
      <c r="C79" s="4"/>
      <c r="D79" s="37">
        <v>17.09</v>
      </c>
      <c r="E79" s="4"/>
      <c r="F79" s="4"/>
      <c r="G79" s="4"/>
      <c r="H79" s="4">
        <v>17.09</v>
      </c>
      <c r="I79" s="4"/>
      <c r="J79" s="4"/>
      <c r="K79" s="28"/>
      <c r="L79" s="29"/>
    </row>
    <row r="80" spans="1:13" x14ac:dyDescent="0.3">
      <c r="A80" s="11"/>
      <c r="B80" s="2"/>
      <c r="C80" s="4"/>
      <c r="D80" s="4"/>
      <c r="E80" s="4"/>
      <c r="F80" s="4"/>
      <c r="G80" s="4"/>
      <c r="H80" s="4"/>
      <c r="I80" s="4"/>
      <c r="J80" s="4"/>
      <c r="K80" s="4"/>
      <c r="L80" s="12"/>
    </row>
    <row r="81" spans="1:13" x14ac:dyDescent="0.3">
      <c r="A81" s="39" t="s">
        <v>21</v>
      </c>
      <c r="B81" s="23" t="s">
        <v>33</v>
      </c>
      <c r="C81" s="319" t="s">
        <v>11</v>
      </c>
      <c r="D81" s="319"/>
      <c r="E81" s="319"/>
      <c r="F81" s="319"/>
      <c r="G81" s="319" t="s">
        <v>12</v>
      </c>
      <c r="H81" s="319"/>
      <c r="I81" s="319"/>
      <c r="J81" s="319"/>
      <c r="K81" s="319"/>
      <c r="L81" s="193"/>
    </row>
    <row r="82" spans="1:13" x14ac:dyDescent="0.3">
      <c r="A82" s="11"/>
      <c r="B82" s="2" t="s">
        <v>22</v>
      </c>
      <c r="C82" s="4">
        <v>18.399999999999999</v>
      </c>
      <c r="D82" s="4">
        <v>18.399999999999999</v>
      </c>
      <c r="E82" s="4">
        <v>18.399999999999999</v>
      </c>
      <c r="F82" s="4">
        <v>18.399999999999999</v>
      </c>
      <c r="G82" s="4">
        <v>11.7</v>
      </c>
      <c r="H82" s="4">
        <v>11.7</v>
      </c>
      <c r="I82" s="4">
        <v>11.7</v>
      </c>
      <c r="J82" s="4">
        <v>11.7</v>
      </c>
      <c r="K82" s="28"/>
      <c r="L82" s="29"/>
    </row>
    <row r="83" spans="1:13" x14ac:dyDescent="0.3">
      <c r="A83" s="11"/>
      <c r="B83" s="2"/>
      <c r="C83" s="4"/>
      <c r="D83" s="4"/>
      <c r="E83" s="4"/>
      <c r="F83" s="4"/>
      <c r="G83" s="4"/>
      <c r="H83" s="4"/>
      <c r="I83" s="4"/>
      <c r="J83" s="4"/>
      <c r="K83" s="4"/>
      <c r="L83" s="12"/>
    </row>
    <row r="84" spans="1:13" x14ac:dyDescent="0.3">
      <c r="A84" s="39" t="s">
        <v>44</v>
      </c>
      <c r="B84" s="23" t="s">
        <v>42</v>
      </c>
      <c r="C84" s="1" t="s">
        <v>78</v>
      </c>
      <c r="D84" s="1" t="s">
        <v>53</v>
      </c>
      <c r="E84" s="1" t="s">
        <v>54</v>
      </c>
      <c r="F84" s="1"/>
      <c r="G84" s="1" t="s">
        <v>78</v>
      </c>
      <c r="H84" s="1" t="s">
        <v>53</v>
      </c>
      <c r="I84" s="1" t="s">
        <v>54</v>
      </c>
      <c r="J84" s="1"/>
      <c r="K84" s="1"/>
      <c r="L84" s="40"/>
    </row>
    <row r="85" spans="1:13" x14ac:dyDescent="0.3">
      <c r="A85" s="11"/>
      <c r="B85" s="2" t="s">
        <v>43</v>
      </c>
      <c r="C85" s="4">
        <f>(-0.0488*(15^2))+(1.52*15)+20.58</f>
        <v>32.4</v>
      </c>
      <c r="D85" s="4">
        <f>(-0.0488*(25^2))+(1.52*25)+20.58</f>
        <v>28.079999999999995</v>
      </c>
      <c r="E85" s="4">
        <f>(-0.0488*(35^2))+(1.52*35)+20.58</f>
        <v>14</v>
      </c>
      <c r="F85" s="28"/>
      <c r="G85" s="4">
        <f>(-0.0488*(15^2))+(1.52*15)+20.58</f>
        <v>32.4</v>
      </c>
      <c r="H85" s="4">
        <f>(-0.0488*(25^2))+(1.52*25)+20.58</f>
        <v>28.079999999999995</v>
      </c>
      <c r="I85" s="4">
        <f>(-0.0488*(35^2))+(1.52*35)+20.58</f>
        <v>14</v>
      </c>
      <c r="J85" s="28"/>
      <c r="K85" s="28"/>
      <c r="L85" s="29"/>
      <c r="M85" t="s">
        <v>65</v>
      </c>
    </row>
    <row r="86" spans="1:13" x14ac:dyDescent="0.3">
      <c r="A86" s="11"/>
      <c r="B86" s="2"/>
      <c r="C86" s="4"/>
      <c r="D86" s="4"/>
      <c r="E86" s="4"/>
      <c r="F86" s="4"/>
      <c r="G86" s="4"/>
      <c r="H86" s="4"/>
      <c r="I86" s="4"/>
      <c r="J86" s="4"/>
      <c r="K86" s="4"/>
      <c r="L86" s="12"/>
    </row>
    <row r="87" spans="1:13" x14ac:dyDescent="0.3">
      <c r="A87" s="39" t="s">
        <v>47</v>
      </c>
      <c r="B87" s="23" t="s">
        <v>42</v>
      </c>
      <c r="C87" s="45"/>
      <c r="D87" s="45"/>
      <c r="E87" s="45"/>
      <c r="F87" s="45"/>
      <c r="G87" s="45"/>
      <c r="H87" s="45"/>
      <c r="I87" s="45"/>
      <c r="J87" s="45"/>
      <c r="K87" s="45"/>
      <c r="L87" s="61"/>
      <c r="M87" t="s">
        <v>81</v>
      </c>
    </row>
    <row r="88" spans="1:13" x14ac:dyDescent="0.3">
      <c r="A88" s="11"/>
      <c r="B88" s="2" t="s">
        <v>43</v>
      </c>
      <c r="C88" s="37">
        <v>11.879999999999999</v>
      </c>
      <c r="D88" s="37">
        <v>11.879999999999999</v>
      </c>
      <c r="E88" s="37">
        <v>11.879999999999999</v>
      </c>
      <c r="F88" s="41"/>
      <c r="G88" s="37">
        <v>11.879999999999999</v>
      </c>
      <c r="H88" s="37">
        <v>11.879999999999999</v>
      </c>
      <c r="I88" s="37">
        <v>11.879999999999999</v>
      </c>
      <c r="J88" s="28"/>
      <c r="K88" s="28"/>
      <c r="L88" s="29"/>
    </row>
    <row r="89" spans="1:13" x14ac:dyDescent="0.3">
      <c r="A89" s="11"/>
      <c r="B89" s="2" t="s">
        <v>27</v>
      </c>
      <c r="C89" s="37">
        <v>10.72</v>
      </c>
      <c r="D89" s="37">
        <v>10.72</v>
      </c>
      <c r="E89" s="37">
        <v>10.72</v>
      </c>
      <c r="F89" s="37">
        <v>10.72</v>
      </c>
      <c r="G89" s="37">
        <v>10.72</v>
      </c>
      <c r="H89" s="37">
        <v>10.72</v>
      </c>
      <c r="I89" s="37">
        <v>10.72</v>
      </c>
      <c r="J89" s="37">
        <v>10.72</v>
      </c>
      <c r="K89" s="37">
        <v>10.72</v>
      </c>
      <c r="L89" s="254"/>
    </row>
    <row r="90" spans="1:13" x14ac:dyDescent="0.3">
      <c r="A90" s="11"/>
      <c r="B90" s="2" t="s">
        <v>29</v>
      </c>
      <c r="C90" s="37">
        <v>10.92</v>
      </c>
      <c r="D90" s="37">
        <v>10.92</v>
      </c>
      <c r="E90" s="37">
        <v>10.92</v>
      </c>
      <c r="F90" s="37">
        <v>10.92</v>
      </c>
      <c r="G90" s="37">
        <v>10.92</v>
      </c>
      <c r="H90" s="37">
        <v>10.92</v>
      </c>
      <c r="I90" s="37">
        <v>10.92</v>
      </c>
      <c r="J90" s="37">
        <v>10.92</v>
      </c>
      <c r="K90" s="37">
        <v>10.92</v>
      </c>
      <c r="L90" s="46">
        <f>K90</f>
        <v>10.92</v>
      </c>
    </row>
    <row r="91" spans="1:13" x14ac:dyDescent="0.3">
      <c r="A91" s="11"/>
      <c r="B91" s="2" t="s">
        <v>22</v>
      </c>
      <c r="C91" s="37">
        <v>19.78</v>
      </c>
      <c r="D91" s="37">
        <v>19.78</v>
      </c>
      <c r="E91" s="37"/>
      <c r="F91" s="4"/>
      <c r="G91" s="37">
        <v>19.78</v>
      </c>
      <c r="H91" s="37">
        <v>19.78</v>
      </c>
      <c r="I91" s="4"/>
      <c r="J91" s="4"/>
      <c r="K91" s="28"/>
      <c r="L91" s="29"/>
      <c r="M91" t="s">
        <v>91</v>
      </c>
    </row>
    <row r="92" spans="1:13" x14ac:dyDescent="0.3">
      <c r="A92" s="11"/>
      <c r="B92" s="2"/>
      <c r="C92" s="37"/>
      <c r="D92" s="37"/>
      <c r="E92" s="37"/>
      <c r="F92" s="4"/>
      <c r="G92" s="37"/>
      <c r="H92" s="37"/>
      <c r="I92" s="4"/>
      <c r="J92" s="4"/>
      <c r="K92" s="4"/>
      <c r="L92" s="12"/>
    </row>
    <row r="93" spans="1:13" x14ac:dyDescent="0.3">
      <c r="A93" s="186" t="s">
        <v>151</v>
      </c>
      <c r="B93" s="63" t="s">
        <v>152</v>
      </c>
      <c r="C93" s="177"/>
      <c r="D93" s="177"/>
      <c r="E93" s="177"/>
      <c r="F93" s="177"/>
      <c r="G93" s="177"/>
      <c r="H93" s="177"/>
      <c r="I93" s="177"/>
      <c r="J93" s="177"/>
      <c r="K93" s="177"/>
      <c r="L93" s="178"/>
      <c r="M93" t="s">
        <v>153</v>
      </c>
    </row>
    <row r="94" spans="1:13" x14ac:dyDescent="0.3">
      <c r="A94" s="183"/>
      <c r="B94" s="184" t="s">
        <v>22</v>
      </c>
      <c r="C94" s="47">
        <v>30.2</v>
      </c>
      <c r="D94" s="47">
        <v>30.2</v>
      </c>
      <c r="E94" s="47"/>
      <c r="F94" s="47"/>
      <c r="G94" s="47">
        <v>30.2</v>
      </c>
      <c r="H94" s="47">
        <v>30.2</v>
      </c>
      <c r="I94" s="47"/>
      <c r="J94" s="47"/>
      <c r="K94" s="48"/>
      <c r="L94" s="36"/>
      <c r="M94" t="s">
        <v>195</v>
      </c>
    </row>
    <row r="95" spans="1:13" x14ac:dyDescent="0.3">
      <c r="A95" s="183"/>
      <c r="B95" s="184" t="s">
        <v>28</v>
      </c>
      <c r="C95" s="47">
        <v>25</v>
      </c>
      <c r="D95" s="47">
        <v>25</v>
      </c>
      <c r="E95" s="47"/>
      <c r="F95" s="48"/>
      <c r="G95" s="47">
        <v>25</v>
      </c>
      <c r="H95" s="47">
        <v>25</v>
      </c>
      <c r="I95" s="47"/>
      <c r="J95" s="48"/>
      <c r="K95" s="48"/>
      <c r="L95" s="36"/>
      <c r="M95" t="s">
        <v>195</v>
      </c>
    </row>
    <row r="96" spans="1:13" x14ac:dyDescent="0.3">
      <c r="A96" s="183"/>
      <c r="B96" s="2" t="s">
        <v>27</v>
      </c>
      <c r="C96" s="47">
        <v>22.8</v>
      </c>
      <c r="D96" s="47">
        <v>22.8</v>
      </c>
      <c r="E96" s="47">
        <v>22.8</v>
      </c>
      <c r="F96" s="47">
        <v>22.8</v>
      </c>
      <c r="G96" s="47">
        <v>22.8</v>
      </c>
      <c r="H96" s="47">
        <v>22.8</v>
      </c>
      <c r="I96" s="47">
        <v>22.8</v>
      </c>
      <c r="J96" s="47">
        <v>22.8</v>
      </c>
      <c r="K96" s="48"/>
      <c r="L96" s="36"/>
      <c r="M96" t="s">
        <v>195</v>
      </c>
    </row>
    <row r="97" spans="1:13" x14ac:dyDescent="0.3">
      <c r="A97" s="183"/>
      <c r="B97" s="2" t="s">
        <v>154</v>
      </c>
      <c r="C97" s="47">
        <v>22.6</v>
      </c>
      <c r="D97" s="47">
        <v>22.6</v>
      </c>
      <c r="E97" s="47"/>
      <c r="F97" s="48"/>
      <c r="G97" s="47">
        <v>22.6</v>
      </c>
      <c r="H97" s="47">
        <v>22.6</v>
      </c>
      <c r="I97" s="47"/>
      <c r="J97" s="47"/>
      <c r="K97" s="48"/>
      <c r="L97" s="36"/>
    </row>
    <row r="98" spans="1:13" x14ac:dyDescent="0.3">
      <c r="A98" s="183"/>
      <c r="B98" s="2" t="s">
        <v>43</v>
      </c>
      <c r="C98" s="47">
        <v>17.899999999999999</v>
      </c>
      <c r="D98" s="47">
        <v>17.899999999999999</v>
      </c>
      <c r="E98" s="47"/>
      <c r="F98" s="48"/>
      <c r="G98" s="47">
        <v>17.899999999999999</v>
      </c>
      <c r="H98" s="47">
        <v>17.899999999999999</v>
      </c>
      <c r="I98" s="47"/>
      <c r="J98" s="48"/>
      <c r="K98" s="48"/>
      <c r="L98" s="36"/>
    </row>
    <row r="99" spans="1:13" x14ac:dyDescent="0.3">
      <c r="A99" s="183"/>
      <c r="B99" s="2" t="s">
        <v>155</v>
      </c>
      <c r="C99" s="47">
        <v>15</v>
      </c>
      <c r="D99" s="47">
        <v>15</v>
      </c>
      <c r="E99" s="47"/>
      <c r="F99" s="48"/>
      <c r="G99" s="47">
        <v>15</v>
      </c>
      <c r="H99" s="47">
        <v>15</v>
      </c>
      <c r="I99" s="47"/>
      <c r="J99" s="48"/>
      <c r="K99" s="48"/>
      <c r="L99" s="36"/>
    </row>
    <row r="100" spans="1:13" x14ac:dyDescent="0.3">
      <c r="A100" s="183"/>
      <c r="B100" s="2" t="s">
        <v>107</v>
      </c>
      <c r="C100" s="47">
        <v>9.5</v>
      </c>
      <c r="D100" s="47">
        <v>9.5</v>
      </c>
      <c r="E100" s="47">
        <v>9.5</v>
      </c>
      <c r="F100" s="47">
        <v>9.5</v>
      </c>
      <c r="G100" s="47">
        <v>9.5</v>
      </c>
      <c r="H100" s="47">
        <v>9.5</v>
      </c>
      <c r="I100" s="47">
        <v>9.5</v>
      </c>
      <c r="J100" s="47">
        <v>9.5</v>
      </c>
      <c r="K100" s="47">
        <v>9.5</v>
      </c>
      <c r="L100" s="49">
        <f>K100</f>
        <v>9.5</v>
      </c>
      <c r="M100" t="s">
        <v>195</v>
      </c>
    </row>
    <row r="101" spans="1:13" x14ac:dyDescent="0.3">
      <c r="A101" s="11"/>
      <c r="B101" s="2"/>
      <c r="C101" s="50"/>
      <c r="D101" s="50"/>
      <c r="E101" s="50"/>
      <c r="F101" s="50"/>
      <c r="G101" s="50"/>
      <c r="H101" s="50"/>
      <c r="I101" s="50"/>
      <c r="J101" s="50"/>
      <c r="K101" s="4"/>
      <c r="L101" s="12"/>
    </row>
    <row r="102" spans="1:13" x14ac:dyDescent="0.3">
      <c r="A102" s="39" t="s">
        <v>25</v>
      </c>
      <c r="B102" s="23" t="s">
        <v>35</v>
      </c>
      <c r="C102" s="1" t="s">
        <v>0</v>
      </c>
      <c r="D102" s="1" t="s">
        <v>1</v>
      </c>
      <c r="E102" s="1" t="s">
        <v>2</v>
      </c>
      <c r="F102" s="1" t="s">
        <v>3</v>
      </c>
      <c r="G102" s="1" t="s">
        <v>0</v>
      </c>
      <c r="H102" s="1" t="s">
        <v>1</v>
      </c>
      <c r="I102" s="1" t="s">
        <v>2</v>
      </c>
      <c r="J102" s="1" t="s">
        <v>3</v>
      </c>
      <c r="K102" s="1" t="s">
        <v>4</v>
      </c>
      <c r="L102" s="40"/>
      <c r="M102" t="s">
        <v>80</v>
      </c>
    </row>
    <row r="103" spans="1:13" x14ac:dyDescent="0.3">
      <c r="A103" s="11"/>
      <c r="B103" s="2" t="s">
        <v>27</v>
      </c>
      <c r="C103" s="37">
        <v>12.2</v>
      </c>
      <c r="D103" s="37">
        <v>12.2</v>
      </c>
      <c r="E103" s="37"/>
      <c r="F103" s="37"/>
      <c r="G103" s="37">
        <v>12.2</v>
      </c>
      <c r="H103" s="37">
        <v>12.2</v>
      </c>
      <c r="I103" s="37"/>
      <c r="J103" s="4"/>
      <c r="K103" s="4"/>
      <c r="L103" s="29"/>
    </row>
    <row r="104" spans="1:13" x14ac:dyDescent="0.3">
      <c r="A104" s="11"/>
      <c r="B104" s="2" t="s">
        <v>22</v>
      </c>
      <c r="C104" s="37">
        <v>22.9</v>
      </c>
      <c r="D104" s="37">
        <v>22.9</v>
      </c>
      <c r="E104" s="37"/>
      <c r="F104" s="37"/>
      <c r="G104" s="37">
        <v>22.9</v>
      </c>
      <c r="H104" s="37">
        <v>22.9</v>
      </c>
      <c r="I104" s="37"/>
      <c r="J104" s="4"/>
      <c r="K104" s="28"/>
      <c r="L104" s="29"/>
    </row>
    <row r="105" spans="1:13" x14ac:dyDescent="0.3">
      <c r="A105" s="11"/>
      <c r="B105" s="2" t="s">
        <v>17</v>
      </c>
      <c r="C105" s="37"/>
      <c r="D105" s="37">
        <v>10.1</v>
      </c>
      <c r="E105" s="37">
        <v>10.1</v>
      </c>
      <c r="F105" s="37"/>
      <c r="G105" s="37"/>
      <c r="H105" s="37">
        <v>10.1</v>
      </c>
      <c r="I105" s="37">
        <v>10.1</v>
      </c>
      <c r="J105" s="4"/>
      <c r="K105" s="47"/>
      <c r="L105" s="12"/>
    </row>
    <row r="106" spans="1:13" x14ac:dyDescent="0.3">
      <c r="A106" s="11"/>
      <c r="B106" s="2" t="s">
        <v>28</v>
      </c>
      <c r="C106" s="37">
        <f>(21.6+23.6)/2</f>
        <v>22.6</v>
      </c>
      <c r="D106" s="37"/>
      <c r="E106" s="37"/>
      <c r="F106" s="41"/>
      <c r="G106" s="37">
        <f>(21.6+23.6)/2</f>
        <v>22.6</v>
      </c>
      <c r="H106" s="37"/>
      <c r="I106" s="37"/>
      <c r="J106" s="28"/>
      <c r="K106" s="28"/>
      <c r="L106" s="29"/>
    </row>
    <row r="107" spans="1:13" x14ac:dyDescent="0.3">
      <c r="A107" s="11"/>
      <c r="B107" s="2" t="s">
        <v>29</v>
      </c>
      <c r="C107" s="37">
        <v>13.5</v>
      </c>
      <c r="D107" s="37">
        <v>13.5</v>
      </c>
      <c r="E107" s="37">
        <v>13.5</v>
      </c>
      <c r="F107" s="37"/>
      <c r="G107" s="37">
        <v>13.5</v>
      </c>
      <c r="H107" s="37">
        <v>13.5</v>
      </c>
      <c r="I107" s="37">
        <v>13.5</v>
      </c>
      <c r="J107" s="4"/>
      <c r="K107" s="4"/>
      <c r="L107" s="12"/>
    </row>
    <row r="108" spans="1:13" x14ac:dyDescent="0.3">
      <c r="A108" s="11"/>
      <c r="B108" s="2" t="s">
        <v>30</v>
      </c>
      <c r="C108" s="37">
        <v>39.299999999999997</v>
      </c>
      <c r="D108" s="37"/>
      <c r="E108" s="37"/>
      <c r="F108" s="37"/>
      <c r="G108" s="37">
        <v>39.299999999999997</v>
      </c>
      <c r="H108" s="4"/>
      <c r="I108" s="37"/>
      <c r="J108" s="4"/>
      <c r="K108" s="28"/>
      <c r="L108" s="29"/>
    </row>
    <row r="109" spans="1:13" x14ac:dyDescent="0.3">
      <c r="A109" s="11"/>
      <c r="B109" s="2" t="s">
        <v>70</v>
      </c>
      <c r="C109" s="37">
        <v>7.1</v>
      </c>
      <c r="D109" s="37">
        <v>7.1</v>
      </c>
      <c r="E109" s="41"/>
      <c r="F109" s="41"/>
      <c r="G109" s="37">
        <v>7.1</v>
      </c>
      <c r="H109" s="37">
        <v>7.1</v>
      </c>
      <c r="I109" s="37"/>
      <c r="J109" s="28"/>
      <c r="K109" s="28"/>
      <c r="L109" s="29"/>
    </row>
    <row r="110" spans="1:13" x14ac:dyDescent="0.3">
      <c r="A110" s="11"/>
      <c r="B110" s="2" t="s">
        <v>71</v>
      </c>
      <c r="C110" s="37">
        <v>15.5</v>
      </c>
      <c r="D110" s="37">
        <v>15.5</v>
      </c>
      <c r="E110" s="37"/>
      <c r="F110" s="41"/>
      <c r="G110" s="37">
        <v>15.5</v>
      </c>
      <c r="H110" s="37">
        <v>15.5</v>
      </c>
      <c r="I110" s="37"/>
      <c r="J110" s="28"/>
      <c r="K110" s="28"/>
      <c r="L110" s="29"/>
    </row>
    <row r="111" spans="1:13" x14ac:dyDescent="0.3">
      <c r="A111" s="11"/>
      <c r="B111" s="2" t="s">
        <v>72</v>
      </c>
      <c r="C111" s="37">
        <v>12.9</v>
      </c>
      <c r="D111" s="37">
        <v>12.9</v>
      </c>
      <c r="E111" s="37"/>
      <c r="F111" s="41"/>
      <c r="G111" s="37">
        <v>12.9</v>
      </c>
      <c r="H111" s="37">
        <v>12.9</v>
      </c>
      <c r="I111" s="37"/>
      <c r="J111" s="28"/>
      <c r="K111" s="28"/>
      <c r="L111" s="29"/>
    </row>
    <row r="112" spans="1:13" x14ac:dyDescent="0.3">
      <c r="A112" s="11"/>
      <c r="B112" s="2" t="s">
        <v>73</v>
      </c>
      <c r="C112" s="37">
        <v>17.45</v>
      </c>
      <c r="D112" s="37">
        <v>17.45</v>
      </c>
      <c r="E112" s="37"/>
      <c r="F112" s="41"/>
      <c r="G112" s="37">
        <v>17.45</v>
      </c>
      <c r="H112" s="37">
        <v>17.45</v>
      </c>
      <c r="I112" s="37"/>
      <c r="J112" s="28"/>
      <c r="K112" s="28"/>
      <c r="L112" s="29"/>
    </row>
    <row r="113" spans="1:14" x14ac:dyDescent="0.3">
      <c r="A113" s="11"/>
      <c r="B113" s="2" t="s">
        <v>74</v>
      </c>
      <c r="C113" s="37">
        <f>AVERAGE(20.1, 16.7)</f>
        <v>18.399999999999999</v>
      </c>
      <c r="D113" s="37">
        <f>AVERAGE(20.1, 16.7)</f>
        <v>18.399999999999999</v>
      </c>
      <c r="E113" s="37"/>
      <c r="F113" s="41"/>
      <c r="G113" s="37">
        <f>AVERAGE(20.1, 16.7)</f>
        <v>18.399999999999999</v>
      </c>
      <c r="H113" s="37">
        <f>AVERAGE(20.1, 16.7)</f>
        <v>18.399999999999999</v>
      </c>
      <c r="I113" s="37"/>
      <c r="J113" s="28"/>
      <c r="K113" s="28"/>
      <c r="L113" s="29"/>
    </row>
    <row r="114" spans="1:14" x14ac:dyDescent="0.3">
      <c r="A114" s="11"/>
      <c r="B114" s="2" t="s">
        <v>75</v>
      </c>
      <c r="C114" s="37">
        <v>45</v>
      </c>
      <c r="D114" s="37">
        <v>45</v>
      </c>
      <c r="E114" s="41"/>
      <c r="F114" s="41"/>
      <c r="G114" s="37">
        <v>45</v>
      </c>
      <c r="H114" s="37">
        <v>45</v>
      </c>
      <c r="I114" s="41"/>
      <c r="J114" s="28"/>
      <c r="K114" s="28"/>
      <c r="L114" s="29"/>
    </row>
    <row r="115" spans="1:14" x14ac:dyDescent="0.3">
      <c r="A115" s="11"/>
      <c r="B115" s="2"/>
      <c r="C115" s="37"/>
      <c r="D115" s="37"/>
      <c r="E115" s="37"/>
      <c r="F115" s="37"/>
      <c r="G115" s="37"/>
      <c r="H115" s="37"/>
      <c r="I115" s="37"/>
      <c r="J115" s="4"/>
      <c r="K115" s="4"/>
      <c r="L115" s="12"/>
    </row>
    <row r="116" spans="1:14" x14ac:dyDescent="0.3">
      <c r="A116" s="39" t="s">
        <v>145</v>
      </c>
      <c r="B116" s="23" t="s">
        <v>35</v>
      </c>
      <c r="C116" s="179" t="s">
        <v>146</v>
      </c>
      <c r="D116" s="179" t="s">
        <v>147</v>
      </c>
      <c r="E116" s="179"/>
      <c r="F116" s="179"/>
      <c r="G116" s="179" t="s">
        <v>146</v>
      </c>
      <c r="H116" s="179" t="s">
        <v>147</v>
      </c>
      <c r="I116" s="179"/>
      <c r="J116" s="179"/>
      <c r="K116" s="179"/>
      <c r="L116" s="180"/>
    </row>
    <row r="117" spans="1:14" x14ac:dyDescent="0.3">
      <c r="A117" s="11"/>
      <c r="B117" s="2" t="s">
        <v>73</v>
      </c>
      <c r="C117" s="205">
        <f>15058/600</f>
        <v>25.096666666666668</v>
      </c>
      <c r="D117" s="205">
        <f>15585/600</f>
        <v>25.975000000000001</v>
      </c>
      <c r="E117" s="205"/>
      <c r="F117" s="206"/>
      <c r="G117" s="205">
        <f>15058/600</f>
        <v>25.096666666666668</v>
      </c>
      <c r="H117" s="205">
        <f>15585/600</f>
        <v>25.975000000000001</v>
      </c>
      <c r="I117" s="205"/>
      <c r="J117" s="206"/>
      <c r="K117" s="206"/>
      <c r="L117" s="207"/>
      <c r="M117" t="s">
        <v>68</v>
      </c>
      <c r="N117" s="32"/>
    </row>
    <row r="118" spans="1:14" x14ac:dyDescent="0.3">
      <c r="A118" s="11"/>
      <c r="B118" s="2"/>
      <c r="C118" s="200"/>
      <c r="D118" s="200"/>
      <c r="E118" s="200"/>
      <c r="F118" s="200"/>
      <c r="G118" s="200"/>
      <c r="H118" s="200"/>
      <c r="I118" s="200"/>
      <c r="J118" s="200"/>
      <c r="K118" s="200"/>
      <c r="L118" s="208"/>
    </row>
    <row r="119" spans="1:14" x14ac:dyDescent="0.3">
      <c r="A119" s="39" t="s">
        <v>19</v>
      </c>
      <c r="B119" s="23" t="s">
        <v>32</v>
      </c>
      <c r="C119" s="209"/>
      <c r="D119" s="210" t="s">
        <v>9</v>
      </c>
      <c r="E119" s="210" t="s">
        <v>10</v>
      </c>
      <c r="F119" s="210" t="s">
        <v>79</v>
      </c>
      <c r="G119" s="210"/>
      <c r="H119" s="210" t="s">
        <v>9</v>
      </c>
      <c r="I119" s="210" t="s">
        <v>10</v>
      </c>
      <c r="J119" s="210" t="s">
        <v>18</v>
      </c>
      <c r="K119" s="210" t="s">
        <v>18</v>
      </c>
      <c r="L119" s="211"/>
    </row>
    <row r="120" spans="1:14" x14ac:dyDescent="0.3">
      <c r="A120" s="11"/>
      <c r="B120" s="2" t="s">
        <v>17</v>
      </c>
      <c r="C120" s="200"/>
      <c r="D120" s="201">
        <v>17.796666666666667</v>
      </c>
      <c r="E120" s="201">
        <v>15.373333333333333</v>
      </c>
      <c r="F120" s="201">
        <v>12.6</v>
      </c>
      <c r="G120" s="201"/>
      <c r="H120" s="201">
        <v>17.796666666666667</v>
      </c>
      <c r="I120" s="201">
        <v>15.373333333333333</v>
      </c>
      <c r="J120" s="201">
        <v>12.6</v>
      </c>
      <c r="K120" s="292">
        <v>12.6</v>
      </c>
      <c r="L120" s="291">
        <f>K120</f>
        <v>12.6</v>
      </c>
      <c r="M120" t="s">
        <v>68</v>
      </c>
    </row>
    <row r="121" spans="1:14" x14ac:dyDescent="0.3">
      <c r="A121" s="11"/>
      <c r="B121" s="2"/>
      <c r="C121" s="200"/>
      <c r="D121" s="201"/>
      <c r="E121" s="201"/>
      <c r="F121" s="201"/>
      <c r="G121" s="201"/>
      <c r="H121" s="201"/>
      <c r="I121" s="201"/>
      <c r="J121" s="201"/>
      <c r="K121" s="201"/>
      <c r="L121" s="202"/>
    </row>
    <row r="122" spans="1:14" x14ac:dyDescent="0.3">
      <c r="A122" s="11"/>
      <c r="C122" s="200"/>
      <c r="D122" s="212"/>
      <c r="E122" s="212"/>
      <c r="F122" s="212"/>
      <c r="G122" s="212"/>
      <c r="H122" s="212"/>
      <c r="I122" s="212"/>
      <c r="J122" s="212"/>
      <c r="K122" s="212"/>
      <c r="L122" s="213"/>
    </row>
    <row r="123" spans="1:14" x14ac:dyDescent="0.3">
      <c r="A123" s="39" t="s">
        <v>242</v>
      </c>
      <c r="B123" s="23" t="s">
        <v>42</v>
      </c>
      <c r="C123" s="214" t="s">
        <v>0</v>
      </c>
      <c r="D123" s="214" t="s">
        <v>1</v>
      </c>
      <c r="E123" s="214" t="s">
        <v>2</v>
      </c>
      <c r="F123" s="214" t="s">
        <v>3</v>
      </c>
      <c r="G123" s="214" t="s">
        <v>0</v>
      </c>
      <c r="H123" s="214" t="s">
        <v>1</v>
      </c>
      <c r="I123" s="214" t="s">
        <v>2</v>
      </c>
      <c r="J123" s="214" t="s">
        <v>3</v>
      </c>
      <c r="K123" s="214" t="s">
        <v>4</v>
      </c>
      <c r="L123" s="215"/>
      <c r="M123" s="30" t="s">
        <v>190</v>
      </c>
    </row>
    <row r="124" spans="1:14" x14ac:dyDescent="0.3">
      <c r="A124" s="11"/>
      <c r="B124" s="2" t="s">
        <v>28</v>
      </c>
      <c r="C124" s="200">
        <v>29.283181818181813</v>
      </c>
      <c r="D124" s="201">
        <v>24.405000000000001</v>
      </c>
      <c r="E124" s="201"/>
      <c r="F124" s="216"/>
      <c r="G124" s="201">
        <v>23.557199999999998</v>
      </c>
      <c r="H124" s="201">
        <v>23.734999999999996</v>
      </c>
      <c r="I124" s="201" t="s">
        <v>178</v>
      </c>
      <c r="J124" s="216"/>
      <c r="K124" s="216"/>
      <c r="L124" s="217"/>
    </row>
    <row r="125" spans="1:14" x14ac:dyDescent="0.3">
      <c r="A125" s="11"/>
      <c r="B125" s="2" t="s">
        <v>22</v>
      </c>
      <c r="C125" s="200">
        <v>33.477647058823521</v>
      </c>
      <c r="D125" s="201">
        <v>30.725999999999999</v>
      </c>
      <c r="E125" s="201"/>
      <c r="F125" s="201"/>
      <c r="G125" s="201" t="s">
        <v>178</v>
      </c>
      <c r="H125" s="201">
        <v>25.665384615384617</v>
      </c>
      <c r="I125" s="201" t="s">
        <v>178</v>
      </c>
      <c r="J125" s="201"/>
      <c r="K125" s="216"/>
      <c r="L125" s="217"/>
    </row>
    <row r="126" spans="1:14" x14ac:dyDescent="0.3">
      <c r="A126" s="11"/>
      <c r="B126" s="2" t="s">
        <v>27</v>
      </c>
      <c r="C126" s="200">
        <v>25.169375000000002</v>
      </c>
      <c r="D126" s="201">
        <v>20.911666666666665</v>
      </c>
      <c r="E126" s="201"/>
      <c r="F126" s="201"/>
      <c r="G126" s="218">
        <v>25.169375000000002</v>
      </c>
      <c r="H126" s="201">
        <v>16.494000000000003</v>
      </c>
      <c r="I126" s="201" t="s">
        <v>178</v>
      </c>
      <c r="J126" s="201"/>
      <c r="K126" s="216"/>
      <c r="L126" s="217"/>
    </row>
    <row r="127" spans="1:14" x14ac:dyDescent="0.3">
      <c r="A127" s="11"/>
      <c r="B127" s="2" t="s">
        <v>107</v>
      </c>
      <c r="C127" s="200">
        <v>12.41</v>
      </c>
      <c r="D127" s="201">
        <v>8.2766666666666655</v>
      </c>
      <c r="E127" s="201">
        <v>3.98</v>
      </c>
      <c r="F127" s="219">
        <v>3.98</v>
      </c>
      <c r="G127" s="218">
        <v>12.41</v>
      </c>
      <c r="H127" s="201">
        <v>6.3299999999999992</v>
      </c>
      <c r="I127" s="201">
        <v>3.98</v>
      </c>
      <c r="J127" s="219">
        <v>3.98</v>
      </c>
      <c r="K127" s="219">
        <v>3.98</v>
      </c>
      <c r="L127" s="221">
        <f>K127</f>
        <v>3.98</v>
      </c>
    </row>
    <row r="128" spans="1:14" x14ac:dyDescent="0.3">
      <c r="A128" s="11"/>
      <c r="B128" s="23" t="s">
        <v>175</v>
      </c>
      <c r="C128" s="214" t="s">
        <v>0</v>
      </c>
      <c r="D128" s="214" t="s">
        <v>1</v>
      </c>
      <c r="E128" s="214" t="s">
        <v>2</v>
      </c>
      <c r="F128" s="214" t="s">
        <v>3</v>
      </c>
      <c r="G128" s="214" t="s">
        <v>0</v>
      </c>
      <c r="H128" s="214" t="s">
        <v>1</v>
      </c>
      <c r="I128" s="214" t="s">
        <v>2</v>
      </c>
      <c r="J128" s="214" t="s">
        <v>3</v>
      </c>
      <c r="K128" s="214" t="s">
        <v>4</v>
      </c>
      <c r="L128" s="215"/>
      <c r="M128" s="30" t="s">
        <v>190</v>
      </c>
    </row>
    <row r="129" spans="1:13" x14ac:dyDescent="0.3">
      <c r="A129" s="11"/>
      <c r="B129" s="2" t="s">
        <v>27</v>
      </c>
      <c r="C129" s="200">
        <v>28.196562958125</v>
      </c>
      <c r="D129" s="201">
        <v>17.802708697499998</v>
      </c>
      <c r="E129" s="201" t="s">
        <v>178</v>
      </c>
      <c r="F129" s="201"/>
      <c r="G129" s="201">
        <v>23.189658520000002</v>
      </c>
      <c r="H129" s="201">
        <v>18.590324079999998</v>
      </c>
      <c r="I129" s="201" t="s">
        <v>178</v>
      </c>
      <c r="J129" s="201"/>
      <c r="K129" s="201"/>
      <c r="L129" s="217"/>
    </row>
    <row r="130" spans="1:13" x14ac:dyDescent="0.3">
      <c r="A130" s="11"/>
      <c r="B130" s="2" t="s">
        <v>17</v>
      </c>
      <c r="C130" s="200">
        <v>25.11904762</v>
      </c>
      <c r="D130" s="201" t="s">
        <v>178</v>
      </c>
      <c r="E130" s="201">
        <v>11.53846154</v>
      </c>
      <c r="F130" s="201"/>
      <c r="G130" s="201">
        <v>26.055501929999998</v>
      </c>
      <c r="H130" s="201" t="s">
        <v>178</v>
      </c>
      <c r="I130" s="201">
        <v>11.53846154</v>
      </c>
      <c r="J130" s="201"/>
      <c r="K130" s="201"/>
      <c r="L130" s="202"/>
    </row>
    <row r="131" spans="1:13" x14ac:dyDescent="0.3">
      <c r="A131" s="11"/>
      <c r="B131" s="2" t="s">
        <v>133</v>
      </c>
      <c r="C131" s="200">
        <v>35.427153627500005</v>
      </c>
      <c r="D131" s="201">
        <v>32.554783792000002</v>
      </c>
      <c r="E131" s="201">
        <v>27.008670952500001</v>
      </c>
      <c r="F131" s="219">
        <v>27.008670952500001</v>
      </c>
      <c r="G131" s="201">
        <v>35.3974563875</v>
      </c>
      <c r="H131" s="201">
        <v>30.659562019000003</v>
      </c>
      <c r="I131" s="201">
        <v>27.253315373333333</v>
      </c>
      <c r="J131" s="219">
        <v>27.253315373333333</v>
      </c>
      <c r="K131" s="219">
        <v>27.253315373333333</v>
      </c>
      <c r="L131" s="221">
        <f>K131</f>
        <v>27.253315373333333</v>
      </c>
    </row>
    <row r="132" spans="1:13" x14ac:dyDescent="0.3">
      <c r="A132" s="11"/>
      <c r="B132" s="2" t="s">
        <v>114</v>
      </c>
      <c r="C132" s="200">
        <v>39.744096075000002</v>
      </c>
      <c r="D132" s="201">
        <v>30.268421966315799</v>
      </c>
      <c r="E132" s="201" t="s">
        <v>178</v>
      </c>
      <c r="F132" s="216"/>
      <c r="G132" s="201">
        <v>39.504593503333332</v>
      </c>
      <c r="H132" s="201">
        <v>28.748167087499997</v>
      </c>
      <c r="I132" s="201">
        <v>31.31868132</v>
      </c>
      <c r="J132" s="216"/>
      <c r="K132" s="216"/>
      <c r="L132" s="217"/>
    </row>
    <row r="133" spans="1:13" x14ac:dyDescent="0.3">
      <c r="A133" s="11"/>
      <c r="B133" s="2" t="s">
        <v>115</v>
      </c>
      <c r="C133" s="200">
        <v>25.395540115454541</v>
      </c>
      <c r="D133" s="201">
        <v>18.772066788181817</v>
      </c>
      <c r="E133" s="201" t="s">
        <v>178</v>
      </c>
      <c r="F133" s="216"/>
      <c r="G133" s="201">
        <v>25.710785907999998</v>
      </c>
      <c r="H133" s="201">
        <v>18.874394555833334</v>
      </c>
      <c r="I133" s="201" t="s">
        <v>178</v>
      </c>
      <c r="J133" s="216"/>
      <c r="K133" s="216"/>
      <c r="L133" s="217"/>
    </row>
    <row r="134" spans="1:13" x14ac:dyDescent="0.3">
      <c r="A134" s="11"/>
      <c r="B134" s="2" t="s">
        <v>116</v>
      </c>
      <c r="C134" s="200">
        <v>53.813570049333322</v>
      </c>
      <c r="D134" s="201">
        <v>46.560580430833333</v>
      </c>
      <c r="E134" s="216" t="s">
        <v>178</v>
      </c>
      <c r="F134" s="216"/>
      <c r="G134" s="201">
        <v>53.715285512499989</v>
      </c>
      <c r="H134" s="201">
        <v>47.58415173214285</v>
      </c>
      <c r="I134" s="216" t="s">
        <v>178</v>
      </c>
      <c r="J134" s="216"/>
      <c r="K134" s="216"/>
      <c r="L134" s="217"/>
    </row>
    <row r="135" spans="1:13" x14ac:dyDescent="0.3">
      <c r="A135" s="11"/>
      <c r="B135" s="23" t="s">
        <v>183</v>
      </c>
      <c r="C135" s="1" t="s">
        <v>0</v>
      </c>
      <c r="D135" s="1" t="s">
        <v>1</v>
      </c>
      <c r="E135" s="1" t="s">
        <v>2</v>
      </c>
      <c r="F135" s="1" t="s">
        <v>3</v>
      </c>
      <c r="G135" s="1" t="s">
        <v>0</v>
      </c>
      <c r="H135" s="1" t="s">
        <v>1</v>
      </c>
      <c r="I135" s="1" t="s">
        <v>2</v>
      </c>
      <c r="J135" s="1" t="s">
        <v>3</v>
      </c>
      <c r="K135" s="1" t="s">
        <v>4</v>
      </c>
      <c r="L135" s="40"/>
      <c r="M135" t="s">
        <v>176</v>
      </c>
    </row>
    <row r="136" spans="1:13" x14ac:dyDescent="0.3">
      <c r="A136" s="11"/>
      <c r="B136" s="2" t="s">
        <v>184</v>
      </c>
      <c r="C136" s="201">
        <v>13.304375221749998</v>
      </c>
      <c r="D136" s="201">
        <v>8.6828936663333334</v>
      </c>
      <c r="E136" s="201">
        <v>7.1447256105000001</v>
      </c>
      <c r="F136" s="201">
        <v>1.8296500920000001</v>
      </c>
      <c r="G136" s="219">
        <v>13.304375221749998</v>
      </c>
      <c r="H136" s="219">
        <v>8.6828936663333334</v>
      </c>
      <c r="I136" s="219">
        <v>7.1447256105000001</v>
      </c>
      <c r="J136" s="201">
        <v>1.8296500920000001</v>
      </c>
      <c r="K136" s="219">
        <v>1.8296500920000001</v>
      </c>
      <c r="L136" s="221">
        <v>1.8296500920000001</v>
      </c>
    </row>
    <row r="137" spans="1:13" x14ac:dyDescent="0.3">
      <c r="A137" s="11"/>
      <c r="B137" s="2" t="s">
        <v>185</v>
      </c>
      <c r="C137" s="201">
        <v>30.785152319999998</v>
      </c>
      <c r="D137" s="201">
        <v>20.892438006153846</v>
      </c>
      <c r="E137" s="201">
        <v>30.333333329999999</v>
      </c>
      <c r="F137" s="201" t="s">
        <v>178</v>
      </c>
      <c r="G137" s="201" t="s">
        <v>178</v>
      </c>
      <c r="H137" s="201">
        <v>21.970918515000001</v>
      </c>
      <c r="I137" s="201">
        <v>22.612996353333333</v>
      </c>
      <c r="J137" s="201" t="s">
        <v>178</v>
      </c>
      <c r="K137" s="201" t="s">
        <v>178</v>
      </c>
      <c r="L137" s="217"/>
    </row>
    <row r="138" spans="1:13" x14ac:dyDescent="0.3">
      <c r="A138" s="11"/>
      <c r="B138" s="2" t="s">
        <v>70</v>
      </c>
      <c r="C138" s="201">
        <v>19.520390488384614</v>
      </c>
      <c r="D138" s="201">
        <v>14.25414365</v>
      </c>
      <c r="E138" s="201" t="s">
        <v>178</v>
      </c>
      <c r="F138" s="201" t="s">
        <v>178</v>
      </c>
      <c r="G138" s="201" t="s">
        <v>178</v>
      </c>
      <c r="H138" s="201">
        <v>11.277688053000002</v>
      </c>
      <c r="I138" s="201" t="s">
        <v>178</v>
      </c>
      <c r="J138" s="201" t="s">
        <v>178</v>
      </c>
      <c r="K138" s="201" t="s">
        <v>178</v>
      </c>
      <c r="L138" s="217"/>
    </row>
    <row r="139" spans="1:13" x14ac:dyDescent="0.3">
      <c r="A139" s="11"/>
      <c r="B139" s="2" t="s">
        <v>186</v>
      </c>
      <c r="C139" s="201">
        <v>27.622727202727273</v>
      </c>
      <c r="D139" s="201">
        <v>27.800956697500002</v>
      </c>
      <c r="E139" s="201" t="s">
        <v>178</v>
      </c>
      <c r="F139" s="201" t="s">
        <v>178</v>
      </c>
      <c r="G139" s="201">
        <v>29.643633066666666</v>
      </c>
      <c r="H139" s="201">
        <v>22.035300496666665</v>
      </c>
      <c r="I139" s="201" t="s">
        <v>178</v>
      </c>
      <c r="J139" s="201" t="s">
        <v>178</v>
      </c>
      <c r="K139" s="201" t="s">
        <v>178</v>
      </c>
      <c r="L139" s="217"/>
    </row>
    <row r="140" spans="1:13" x14ac:dyDescent="0.3">
      <c r="A140" s="11"/>
      <c r="B140" s="2" t="s">
        <v>71</v>
      </c>
      <c r="C140" s="201">
        <v>15.255146883785715</v>
      </c>
      <c r="D140" s="201">
        <v>21.531239338571428</v>
      </c>
      <c r="E140" s="201" t="s">
        <v>178</v>
      </c>
      <c r="F140" s="216" t="s">
        <v>178</v>
      </c>
      <c r="G140" s="201" t="s">
        <v>178</v>
      </c>
      <c r="H140" s="201">
        <v>20.188176500000001</v>
      </c>
      <c r="I140" s="201" t="s">
        <v>178</v>
      </c>
      <c r="J140" s="216" t="s">
        <v>178</v>
      </c>
      <c r="K140" s="216" t="s">
        <v>178</v>
      </c>
      <c r="L140" s="217"/>
    </row>
    <row r="141" spans="1:13" x14ac:dyDescent="0.3">
      <c r="A141" s="11"/>
      <c r="B141" s="2" t="s">
        <v>187</v>
      </c>
      <c r="C141" s="200">
        <v>23.886509025384619</v>
      </c>
      <c r="D141" s="201">
        <v>19.169906462</v>
      </c>
      <c r="E141" s="201">
        <v>17.879032260000002</v>
      </c>
      <c r="F141" s="292">
        <f>E141</f>
        <v>17.879032260000002</v>
      </c>
      <c r="G141" s="218">
        <v>23.886509025384619</v>
      </c>
      <c r="H141" s="219">
        <v>19.169906462</v>
      </c>
      <c r="I141" s="201">
        <v>17.214977621599999</v>
      </c>
      <c r="J141" s="292">
        <f>I141</f>
        <v>17.214977621599999</v>
      </c>
      <c r="K141" s="201" t="s">
        <v>178</v>
      </c>
      <c r="L141" s="217"/>
    </row>
    <row r="142" spans="1:13" x14ac:dyDescent="0.3">
      <c r="A142" s="11"/>
      <c r="B142" s="2" t="s">
        <v>27</v>
      </c>
      <c r="C142" s="200">
        <v>29.156417258749997</v>
      </c>
      <c r="D142" s="201">
        <v>24.476863606296302</v>
      </c>
      <c r="E142" s="201" t="s">
        <v>178</v>
      </c>
      <c r="F142" s="201" t="s">
        <v>178</v>
      </c>
      <c r="G142" s="218">
        <v>29.156417258749997</v>
      </c>
      <c r="H142" s="201">
        <v>22.35691298916667</v>
      </c>
      <c r="I142" s="201">
        <v>21.651622623333335</v>
      </c>
      <c r="J142" s="201" t="s">
        <v>178</v>
      </c>
      <c r="K142" s="201" t="s">
        <v>178</v>
      </c>
      <c r="L142" s="217"/>
    </row>
    <row r="143" spans="1:13" x14ac:dyDescent="0.3">
      <c r="A143" s="11"/>
      <c r="B143" s="2" t="s">
        <v>29</v>
      </c>
      <c r="C143" s="200">
        <v>15.55555556</v>
      </c>
      <c r="D143" s="201">
        <v>13.631675874999999</v>
      </c>
      <c r="E143" s="201">
        <v>8.6147542360000013</v>
      </c>
      <c r="F143" s="201" t="s">
        <v>178</v>
      </c>
      <c r="G143" s="201" t="s">
        <v>178</v>
      </c>
      <c r="H143" s="201" t="s">
        <v>178</v>
      </c>
      <c r="I143" s="201" t="s">
        <v>178</v>
      </c>
      <c r="J143" s="201" t="s">
        <v>178</v>
      </c>
      <c r="K143" s="201" t="s">
        <v>178</v>
      </c>
      <c r="L143" s="202"/>
    </row>
    <row r="144" spans="1:13" x14ac:dyDescent="0.3">
      <c r="A144" s="11"/>
      <c r="B144" s="2" t="s">
        <v>30</v>
      </c>
      <c r="C144" s="200">
        <v>63.460778982500003</v>
      </c>
      <c r="D144" s="201" t="s">
        <v>178</v>
      </c>
      <c r="E144" s="201" t="s">
        <v>178</v>
      </c>
      <c r="F144" s="201" t="s">
        <v>178</v>
      </c>
      <c r="G144" s="201">
        <v>46.764985002499998</v>
      </c>
      <c r="H144" s="201">
        <v>44.830745944</v>
      </c>
      <c r="I144" s="201" t="s">
        <v>178</v>
      </c>
      <c r="J144" s="201" t="s">
        <v>178</v>
      </c>
      <c r="K144" s="201" t="s">
        <v>178</v>
      </c>
      <c r="L144" s="217"/>
    </row>
    <row r="145" spans="1:16" x14ac:dyDescent="0.3">
      <c r="A145" s="11"/>
      <c r="B145" s="2" t="s">
        <v>72</v>
      </c>
      <c r="C145" s="200">
        <v>24.891854808333335</v>
      </c>
      <c r="D145" s="201">
        <v>27.521576190714285</v>
      </c>
      <c r="E145" s="219">
        <v>31.333333329999999</v>
      </c>
      <c r="F145" s="201" t="s">
        <v>178</v>
      </c>
      <c r="G145" s="201">
        <v>15</v>
      </c>
      <c r="H145" s="201">
        <v>17.678609800666667</v>
      </c>
      <c r="I145" s="201">
        <v>31.333333329999999</v>
      </c>
      <c r="J145" s="201" t="s">
        <v>178</v>
      </c>
      <c r="K145" s="201" t="s">
        <v>178</v>
      </c>
      <c r="L145" s="217"/>
    </row>
    <row r="146" spans="1:16" x14ac:dyDescent="0.3">
      <c r="A146" s="11"/>
      <c r="B146" s="2" t="s">
        <v>28</v>
      </c>
      <c r="C146" s="200">
        <v>29.510320351250002</v>
      </c>
      <c r="D146" s="201" t="s">
        <v>178</v>
      </c>
      <c r="E146" s="201" t="s">
        <v>178</v>
      </c>
      <c r="F146" s="216" t="s">
        <v>178</v>
      </c>
      <c r="G146" s="201">
        <v>25.38461538</v>
      </c>
      <c r="H146" s="201">
        <v>20.747059618235291</v>
      </c>
      <c r="I146" s="201" t="s">
        <v>178</v>
      </c>
      <c r="J146" s="216" t="s">
        <v>178</v>
      </c>
      <c r="K146" s="216" t="s">
        <v>178</v>
      </c>
      <c r="L146" s="217"/>
    </row>
    <row r="147" spans="1:16" x14ac:dyDescent="0.3">
      <c r="A147" s="11"/>
      <c r="B147" s="2" t="s">
        <v>73</v>
      </c>
      <c r="C147" s="200">
        <v>29.15835118</v>
      </c>
      <c r="D147" s="201">
        <v>21.162024441666667</v>
      </c>
      <c r="E147" s="219">
        <v>20.249101435000004</v>
      </c>
      <c r="F147" s="220"/>
      <c r="G147" s="201" t="s">
        <v>178</v>
      </c>
      <c r="H147" s="201">
        <v>19.139947526692307</v>
      </c>
      <c r="I147" s="201">
        <v>20.249101435000004</v>
      </c>
      <c r="J147" s="220"/>
      <c r="K147" s="216"/>
      <c r="L147" s="217"/>
    </row>
    <row r="148" spans="1:16" x14ac:dyDescent="0.3">
      <c r="A148" s="11"/>
      <c r="B148" s="2" t="s">
        <v>17</v>
      </c>
      <c r="C148" s="200">
        <v>21.896174863333332</v>
      </c>
      <c r="D148" s="201">
        <v>16.136077398076921</v>
      </c>
      <c r="E148" s="201">
        <v>11.256783024624998</v>
      </c>
      <c r="F148" s="201">
        <v>7.6666666670000003</v>
      </c>
      <c r="G148" s="201" t="s">
        <v>178</v>
      </c>
      <c r="H148" s="201" t="s">
        <v>178</v>
      </c>
      <c r="I148" s="201">
        <v>12.85714286</v>
      </c>
      <c r="J148" s="201">
        <v>8.1963627992500001</v>
      </c>
      <c r="K148" s="201">
        <v>7.9891304344999998</v>
      </c>
      <c r="L148" s="291">
        <f>K148</f>
        <v>7.9891304344999998</v>
      </c>
    </row>
    <row r="149" spans="1:16" x14ac:dyDescent="0.3">
      <c r="A149" s="11"/>
      <c r="B149" s="2" t="s">
        <v>74</v>
      </c>
      <c r="C149" s="200">
        <v>23.807839666086949</v>
      </c>
      <c r="D149" s="201">
        <v>22.067859896999998</v>
      </c>
      <c r="E149" s="219">
        <v>19.293116815000001</v>
      </c>
      <c r="F149" s="216" t="s">
        <v>178</v>
      </c>
      <c r="G149" s="201" t="s">
        <v>178</v>
      </c>
      <c r="H149" s="201">
        <v>20.307688096250004</v>
      </c>
      <c r="I149" s="201">
        <v>19.293116815000001</v>
      </c>
      <c r="J149" s="216" t="s">
        <v>178</v>
      </c>
      <c r="K149" s="216" t="s">
        <v>178</v>
      </c>
      <c r="L149" s="217"/>
    </row>
    <row r="150" spans="1:16" x14ac:dyDescent="0.3">
      <c r="A150" s="11"/>
      <c r="B150" s="2" t="s">
        <v>75</v>
      </c>
      <c r="C150" s="200">
        <v>67.897364318333331</v>
      </c>
      <c r="D150" s="200" t="s">
        <v>178</v>
      </c>
      <c r="E150" s="256" t="s">
        <v>178</v>
      </c>
      <c r="F150" s="256" t="s">
        <v>178</v>
      </c>
      <c r="G150" s="200">
        <v>58.052217946666666</v>
      </c>
      <c r="H150" s="200">
        <v>56.309128142222221</v>
      </c>
      <c r="I150" s="256" t="s">
        <v>178</v>
      </c>
      <c r="J150" s="256" t="s">
        <v>178</v>
      </c>
      <c r="K150" s="256" t="s">
        <v>178</v>
      </c>
      <c r="L150" s="257"/>
    </row>
    <row r="151" spans="1:16" x14ac:dyDescent="0.3">
      <c r="A151" s="11"/>
      <c r="B151" s="2"/>
      <c r="C151" s="200"/>
      <c r="D151" s="200"/>
      <c r="E151" s="200"/>
      <c r="F151" s="200"/>
      <c r="G151" s="200"/>
      <c r="H151" s="200"/>
      <c r="I151" s="200"/>
      <c r="J151" s="200"/>
      <c r="K151" s="200"/>
      <c r="L151" s="208"/>
    </row>
    <row r="152" spans="1:16" x14ac:dyDescent="0.3">
      <c r="A152" s="186" t="s">
        <v>243</v>
      </c>
      <c r="B152" s="23" t="s">
        <v>302</v>
      </c>
      <c r="C152" s="1">
        <v>15</v>
      </c>
      <c r="D152" s="1">
        <v>25</v>
      </c>
      <c r="E152" s="1">
        <v>35</v>
      </c>
      <c r="F152" s="1">
        <v>45</v>
      </c>
      <c r="G152" s="1">
        <v>15</v>
      </c>
      <c r="H152" s="1">
        <v>25</v>
      </c>
      <c r="I152" s="1">
        <v>35</v>
      </c>
      <c r="J152" s="1">
        <v>45</v>
      </c>
      <c r="K152" s="1">
        <v>55</v>
      </c>
      <c r="L152" s="40">
        <v>65</v>
      </c>
      <c r="M152" s="30" t="s">
        <v>237</v>
      </c>
      <c r="N152" s="1" t="s">
        <v>138</v>
      </c>
      <c r="O152" s="1" t="s">
        <v>139</v>
      </c>
      <c r="P152" s="3"/>
    </row>
    <row r="153" spans="1:16" x14ac:dyDescent="0.3">
      <c r="A153" s="11"/>
      <c r="B153" s="2" t="s">
        <v>114</v>
      </c>
      <c r="C153" s="60">
        <f>$N153*C$152^$O153</f>
        <v>37.428332537881069</v>
      </c>
      <c r="D153" s="60">
        <f t="shared" ref="D153:L159" si="2">$N153*D$152^$O153</f>
        <v>32.639614029207429</v>
      </c>
      <c r="E153" s="60">
        <f t="shared" si="2"/>
        <v>29.825154420588952</v>
      </c>
      <c r="F153" s="181"/>
      <c r="G153" s="60">
        <f t="shared" si="2"/>
        <v>37.428332537881069</v>
      </c>
      <c r="H153" s="60">
        <f t="shared" si="2"/>
        <v>32.639614029207429</v>
      </c>
      <c r="I153" s="60">
        <f t="shared" si="2"/>
        <v>29.825154420588952</v>
      </c>
      <c r="J153" s="28"/>
      <c r="K153" s="28"/>
      <c r="L153" s="29"/>
      <c r="M153" s="25" t="s">
        <v>239</v>
      </c>
      <c r="N153">
        <v>77.337999999999994</v>
      </c>
      <c r="O153">
        <v>-0.26800000000000002</v>
      </c>
    </row>
    <row r="154" spans="1:16" x14ac:dyDescent="0.3">
      <c r="A154" s="11"/>
      <c r="B154" s="2" t="s">
        <v>115</v>
      </c>
      <c r="C154" s="200">
        <f t="shared" ref="C154:C159" si="3">$N154*C$152^$O154</f>
        <v>24.276566365077379</v>
      </c>
      <c r="D154" s="200">
        <f t="shared" si="2"/>
        <v>18.546970015398806</v>
      </c>
      <c r="E154" s="200">
        <f t="shared" si="2"/>
        <v>15.53329159626974</v>
      </c>
      <c r="F154" s="200">
        <f t="shared" si="2"/>
        <v>13.606435261508006</v>
      </c>
      <c r="G154" s="200">
        <f t="shared" si="2"/>
        <v>24.276566365077379</v>
      </c>
      <c r="H154" s="200">
        <f t="shared" si="2"/>
        <v>18.546970015398806</v>
      </c>
      <c r="I154" s="200">
        <f>$N154*I$152^$O154</f>
        <v>15.53329159626974</v>
      </c>
      <c r="J154" s="200">
        <f>$N154*J$152^$O154</f>
        <v>13.606435261508006</v>
      </c>
      <c r="K154" s="256"/>
      <c r="L154" s="257"/>
      <c r="M154" s="25" t="s">
        <v>239</v>
      </c>
      <c r="N154">
        <v>101.155</v>
      </c>
      <c r="O154">
        <v>-0.52700000000000002</v>
      </c>
    </row>
    <row r="155" spans="1:16" x14ac:dyDescent="0.3">
      <c r="A155" s="11"/>
      <c r="B155" s="2" t="s">
        <v>28</v>
      </c>
      <c r="C155" s="200">
        <f t="shared" si="3"/>
        <v>27.299888580858081</v>
      </c>
      <c r="D155" s="200">
        <f t="shared" si="2"/>
        <v>17.212004606935164</v>
      </c>
      <c r="E155" s="256"/>
      <c r="F155" s="256"/>
      <c r="G155" s="200">
        <f t="shared" si="2"/>
        <v>27.299888580858081</v>
      </c>
      <c r="H155" s="200">
        <f t="shared" si="2"/>
        <v>17.212004606935164</v>
      </c>
      <c r="I155" s="256"/>
      <c r="J155" s="256"/>
      <c r="K155" s="256"/>
      <c r="L155" s="257"/>
      <c r="M155" s="25" t="s">
        <v>239</v>
      </c>
      <c r="N155">
        <v>314.899</v>
      </c>
      <c r="O155">
        <v>-0.90300000000000002</v>
      </c>
    </row>
    <row r="156" spans="1:16" x14ac:dyDescent="0.3">
      <c r="A156" s="11"/>
      <c r="B156" s="2" t="s">
        <v>22</v>
      </c>
      <c r="C156" s="200">
        <f t="shared" si="3"/>
        <v>30.040129716720305</v>
      </c>
      <c r="D156" s="200">
        <f t="shared" si="2"/>
        <v>22.440171289547319</v>
      </c>
      <c r="E156" s="200">
        <f t="shared" si="2"/>
        <v>18.517700653631671</v>
      </c>
      <c r="F156" s="200">
        <f t="shared" si="2"/>
        <v>16.042260608345988</v>
      </c>
      <c r="G156" s="200">
        <f t="shared" si="2"/>
        <v>30.040129716720305</v>
      </c>
      <c r="H156" s="200">
        <f t="shared" si="2"/>
        <v>22.440171289547319</v>
      </c>
      <c r="I156" s="200">
        <f t="shared" si="2"/>
        <v>18.517700653631671</v>
      </c>
      <c r="J156" s="200">
        <f t="shared" si="2"/>
        <v>16.042260608345988</v>
      </c>
      <c r="K156" s="256"/>
      <c r="L156" s="257"/>
      <c r="M156" s="25" t="s">
        <v>239</v>
      </c>
      <c r="N156">
        <v>141.01</v>
      </c>
      <c r="O156">
        <v>-0.57099999999999995</v>
      </c>
    </row>
    <row r="157" spans="1:16" x14ac:dyDescent="0.3">
      <c r="A157" s="11"/>
      <c r="B157" s="2" t="s">
        <v>27</v>
      </c>
      <c r="C157" s="200">
        <f t="shared" si="3"/>
        <v>18.10970212253546</v>
      </c>
      <c r="D157" s="200">
        <f t="shared" si="2"/>
        <v>16.911556248749854</v>
      </c>
      <c r="E157" s="200">
        <f t="shared" si="2"/>
        <v>16.165994162869843</v>
      </c>
      <c r="F157" s="200">
        <f t="shared" si="2"/>
        <v>15.630650728177574</v>
      </c>
      <c r="G157" s="200">
        <f t="shared" si="2"/>
        <v>18.10970212253546</v>
      </c>
      <c r="H157" s="200">
        <f t="shared" si="2"/>
        <v>16.911556248749854</v>
      </c>
      <c r="I157" s="200">
        <f t="shared" si="2"/>
        <v>16.165994162869843</v>
      </c>
      <c r="J157" s="200">
        <f>$N157*J$152^$O157</f>
        <v>15.630650728177574</v>
      </c>
      <c r="K157" s="200">
        <f>$N157*K$152^$O157</f>
        <v>15.215945189822303</v>
      </c>
      <c r="L157" s="257"/>
      <c r="M157" s="25" t="s">
        <v>239</v>
      </c>
      <c r="N157">
        <v>26.032</v>
      </c>
      <c r="O157">
        <v>-0.13400000000000001</v>
      </c>
    </row>
    <row r="158" spans="1:16" x14ac:dyDescent="0.3">
      <c r="A158" s="11"/>
      <c r="B158" s="2" t="s">
        <v>133</v>
      </c>
      <c r="C158" s="200">
        <v>16.71</v>
      </c>
      <c r="D158" s="200">
        <v>34.47</v>
      </c>
      <c r="E158" s="200"/>
      <c r="F158" s="200"/>
      <c r="G158" s="200"/>
      <c r="H158" s="200"/>
      <c r="I158" s="200"/>
      <c r="J158" s="200">
        <v>24.5</v>
      </c>
      <c r="K158" s="218">
        <v>24.5</v>
      </c>
      <c r="L158" s="264">
        <f>K158</f>
        <v>24.5</v>
      </c>
      <c r="M158" s="25"/>
    </row>
    <row r="159" spans="1:16" x14ac:dyDescent="0.3">
      <c r="A159" s="11"/>
      <c r="B159" s="2" t="s">
        <v>17</v>
      </c>
      <c r="C159" s="200">
        <f t="shared" si="3"/>
        <v>15.931333143231173</v>
      </c>
      <c r="D159" s="200">
        <f t="shared" si="2"/>
        <v>13.695720658840489</v>
      </c>
      <c r="E159" s="200">
        <f t="shared" si="2"/>
        <v>12.397410762492768</v>
      </c>
      <c r="F159" s="200">
        <f t="shared" si="2"/>
        <v>11.508645903134216</v>
      </c>
      <c r="G159" s="200">
        <f t="shared" si="2"/>
        <v>15.931333143231173</v>
      </c>
      <c r="H159" s="200">
        <f t="shared" si="2"/>
        <v>13.695720658840489</v>
      </c>
      <c r="I159" s="200">
        <f t="shared" si="2"/>
        <v>12.397410762492768</v>
      </c>
      <c r="J159" s="200">
        <f t="shared" si="2"/>
        <v>11.508645903134216</v>
      </c>
      <c r="K159" s="200">
        <f t="shared" si="2"/>
        <v>10.844955540190337</v>
      </c>
      <c r="L159" s="208">
        <f t="shared" si="2"/>
        <v>10.321736750202868</v>
      </c>
      <c r="M159" s="25" t="s">
        <v>239</v>
      </c>
      <c r="N159">
        <v>35.512</v>
      </c>
      <c r="O159">
        <v>-0.29599999999999999</v>
      </c>
    </row>
    <row r="160" spans="1:16" x14ac:dyDescent="0.3">
      <c r="A160" s="5"/>
      <c r="B160" s="258" t="s">
        <v>29</v>
      </c>
      <c r="C160" s="259" t="s">
        <v>178</v>
      </c>
      <c r="D160" s="259" t="s">
        <v>178</v>
      </c>
      <c r="E160" s="259">
        <v>11.833333333333332</v>
      </c>
      <c r="F160" s="259">
        <v>10.677777777777777</v>
      </c>
      <c r="G160" s="203"/>
      <c r="H160" s="203"/>
      <c r="I160" s="203"/>
      <c r="J160" s="203"/>
      <c r="K160" s="203"/>
      <c r="L160" s="204"/>
      <c r="M160" s="25"/>
    </row>
    <row r="161" spans="1:13" x14ac:dyDescent="0.3">
      <c r="B161" s="2"/>
      <c r="C161" s="200"/>
      <c r="D161" s="200"/>
      <c r="E161" s="200"/>
      <c r="F161" s="200"/>
      <c r="G161" s="200"/>
      <c r="H161" s="200"/>
      <c r="I161" s="200"/>
      <c r="J161" s="200"/>
      <c r="K161" s="200"/>
      <c r="L161" s="200"/>
    </row>
    <row r="162" spans="1:13" x14ac:dyDescent="0.3">
      <c r="B162" s="2"/>
      <c r="C162" s="313" t="s">
        <v>11</v>
      </c>
      <c r="D162" s="314"/>
      <c r="E162" s="314"/>
      <c r="F162" s="315"/>
      <c r="G162" s="320" t="s">
        <v>12</v>
      </c>
      <c r="H162" s="321"/>
      <c r="I162" s="321"/>
      <c r="J162" s="321"/>
      <c r="K162" s="321"/>
      <c r="L162" s="322"/>
    </row>
    <row r="163" spans="1:13" x14ac:dyDescent="0.3">
      <c r="A163" s="62" t="s">
        <v>39</v>
      </c>
      <c r="C163" s="19" t="s">
        <v>0</v>
      </c>
      <c r="D163" s="20" t="s">
        <v>1</v>
      </c>
      <c r="E163" s="20" t="s">
        <v>2</v>
      </c>
      <c r="F163" s="21" t="s">
        <v>3</v>
      </c>
      <c r="G163" s="3" t="s">
        <v>0</v>
      </c>
      <c r="H163" s="3" t="s">
        <v>1</v>
      </c>
      <c r="I163" s="3" t="s">
        <v>2</v>
      </c>
      <c r="J163" s="3" t="s">
        <v>3</v>
      </c>
      <c r="K163" s="3" t="s">
        <v>4</v>
      </c>
      <c r="L163" s="13" t="s">
        <v>307</v>
      </c>
    </row>
    <row r="164" spans="1:13" x14ac:dyDescent="0.3">
      <c r="A164" s="53" t="s">
        <v>50</v>
      </c>
      <c r="B164" s="54" t="s">
        <v>85</v>
      </c>
      <c r="C164" s="7">
        <f>AVERAGE(C36,C16,C23,C28,C49,C56,C62)</f>
        <v>6.0710080535616271</v>
      </c>
      <c r="D164" s="7">
        <f t="shared" ref="D164:K164" si="4">AVERAGE(D36,D16,D23,D28,D49,D56,D62)</f>
        <v>5.3925003228137314</v>
      </c>
      <c r="E164" s="7">
        <f t="shared" si="4"/>
        <v>5.4509310331026484</v>
      </c>
      <c r="F164" s="7">
        <f t="shared" si="4"/>
        <v>5.6939566515435551</v>
      </c>
      <c r="G164" s="7">
        <f t="shared" si="4"/>
        <v>5.0419287470924399</v>
      </c>
      <c r="H164" s="7">
        <f t="shared" si="4"/>
        <v>4.9251528211384299</v>
      </c>
      <c r="I164" s="7">
        <f t="shared" si="4"/>
        <v>5.5438375032596374</v>
      </c>
      <c r="J164" s="7">
        <f t="shared" si="4"/>
        <v>5.0414984287278086</v>
      </c>
      <c r="K164" s="7">
        <f t="shared" si="4"/>
        <v>5.4304660568909497</v>
      </c>
      <c r="L164" s="12">
        <f>AVERAGE(L36,L16,L23,L28,L49,L56,L62)</f>
        <v>5.4091900597016709</v>
      </c>
    </row>
    <row r="165" spans="1:13" x14ac:dyDescent="0.3">
      <c r="A165" s="55"/>
      <c r="B165" s="56" t="s">
        <v>84</v>
      </c>
      <c r="C165" s="4">
        <f>AVERAGE(C6,C10,C40,C20,C34,C14,C24,C43,C29,C53,C58,C63)</f>
        <v>10.261122803290599</v>
      </c>
      <c r="D165" s="4">
        <f t="shared" ref="D165:K165" si="5">AVERAGE(D6,D10,D40,D20,D34,D14,D24,D43,D29,D53,D58,D63)</f>
        <v>9.2397849812415576</v>
      </c>
      <c r="E165" s="4">
        <f t="shared" si="5"/>
        <v>8.6188854548711671</v>
      </c>
      <c r="F165" s="4">
        <f t="shared" si="5"/>
        <v>8.0909868507014497</v>
      </c>
      <c r="G165" s="4">
        <f t="shared" si="5"/>
        <v>10.182834588096172</v>
      </c>
      <c r="H165" s="4">
        <f t="shared" si="5"/>
        <v>9.3755971706014645</v>
      </c>
      <c r="I165" s="4">
        <f t="shared" si="5"/>
        <v>8.1006978057591308</v>
      </c>
      <c r="J165" s="4">
        <f t="shared" si="5"/>
        <v>7.3746470551650871</v>
      </c>
      <c r="K165" s="4">
        <f t="shared" si="5"/>
        <v>7.0073664274277245</v>
      </c>
      <c r="L165" s="12">
        <f>AVERAGE(L6,L10,L40,L20,L34,L14,L24,L43,L29,L53,L58,L63)</f>
        <v>6.5517456358270572</v>
      </c>
    </row>
    <row r="166" spans="1:13" x14ac:dyDescent="0.3">
      <c r="A166" s="55"/>
      <c r="B166" s="56" t="s">
        <v>180</v>
      </c>
      <c r="C166" s="4">
        <f>AVERAGE(C5,C9,C39,C19,C25,C33,C13,C30,C50,C54,C59,C35,C57,C64)</f>
        <v>17.908115433558979</v>
      </c>
      <c r="D166" s="4">
        <f t="shared" ref="D166:J166" si="6">AVERAGE(D5,D9,D39,D19,D25,D33,D13,D30,D50,D54,D59,D35,D57,D64)</f>
        <v>15.102009625774052</v>
      </c>
      <c r="E166" s="4">
        <f t="shared" si="6"/>
        <v>15.919478431963023</v>
      </c>
      <c r="F166" s="28"/>
      <c r="G166" s="4">
        <f t="shared" si="6"/>
        <v>15.235861841804081</v>
      </c>
      <c r="H166" s="4">
        <f t="shared" si="6"/>
        <v>13.313577283055025</v>
      </c>
      <c r="I166" s="4">
        <f t="shared" si="6"/>
        <v>15.919478431963023</v>
      </c>
      <c r="J166" s="4">
        <f t="shared" si="6"/>
        <v>15.3</v>
      </c>
      <c r="K166" s="28"/>
      <c r="L166" s="29"/>
    </row>
    <row r="167" spans="1:13" x14ac:dyDescent="0.3">
      <c r="A167" s="55"/>
      <c r="B167" s="56" t="s">
        <v>181</v>
      </c>
      <c r="C167" s="4">
        <f>AVERAGE(C15,C52)</f>
        <v>27.222876603750002</v>
      </c>
      <c r="D167" s="4">
        <f t="shared" ref="D167:I167" si="7">AVERAGE(D15,D52)</f>
        <v>14.506516196433331</v>
      </c>
      <c r="E167" s="4">
        <f t="shared" si="7"/>
        <v>21.67</v>
      </c>
      <c r="F167" s="28"/>
      <c r="G167" s="4">
        <f t="shared" si="7"/>
        <v>26.360813299166669</v>
      </c>
      <c r="H167" s="4">
        <f t="shared" si="7"/>
        <v>14.143704061968748</v>
      </c>
      <c r="I167" s="4">
        <f t="shared" si="7"/>
        <v>21.67</v>
      </c>
      <c r="J167" s="28"/>
      <c r="K167" s="28"/>
      <c r="L167" s="29"/>
    </row>
    <row r="168" spans="1:13" x14ac:dyDescent="0.3">
      <c r="A168" s="55"/>
      <c r="B168" s="56" t="s">
        <v>182</v>
      </c>
      <c r="C168" s="4">
        <f>AVERAGE(C46)</f>
        <v>16.818333333333332</v>
      </c>
      <c r="D168" s="4">
        <f t="shared" ref="D168:J168" si="8">AVERAGE(D46)</f>
        <v>16.818333333333332</v>
      </c>
      <c r="E168" s="4">
        <f t="shared" si="8"/>
        <v>15.528333333333334</v>
      </c>
      <c r="F168" s="4">
        <f t="shared" si="8"/>
        <v>15.023333333333333</v>
      </c>
      <c r="G168" s="4">
        <f t="shared" si="8"/>
        <v>16.818333333333332</v>
      </c>
      <c r="H168" s="4">
        <f t="shared" si="8"/>
        <v>16.818333333333332</v>
      </c>
      <c r="I168" s="4">
        <f t="shared" si="8"/>
        <v>15.528333333333334</v>
      </c>
      <c r="J168" s="4">
        <f t="shared" si="8"/>
        <v>15.023333333333333</v>
      </c>
      <c r="K168" s="9">
        <f>K165</f>
        <v>7.0073664274277245</v>
      </c>
      <c r="L168" s="27"/>
      <c r="M168" s="2" t="s">
        <v>305</v>
      </c>
    </row>
    <row r="169" spans="1:13" x14ac:dyDescent="0.3">
      <c r="A169" s="53" t="s">
        <v>76</v>
      </c>
      <c r="B169" s="54" t="s">
        <v>103</v>
      </c>
      <c r="C169" s="7">
        <f>AVERAGE(C71,C120,C105,C77,C130,C148,C159)</f>
        <v>18.2233111253129</v>
      </c>
      <c r="D169" s="7">
        <f t="shared" ref="D169:K169" si="9">AVERAGE(D71,D120,D105,D77,D130,D148,D159)</f>
        <v>13.898077453930677</v>
      </c>
      <c r="E169" s="7">
        <f t="shared" si="9"/>
        <v>12.77371266577873</v>
      </c>
      <c r="F169" s="7">
        <f t="shared" si="9"/>
        <v>12.031062514026845</v>
      </c>
      <c r="G169" s="7">
        <f t="shared" si="9"/>
        <v>17.809208768307794</v>
      </c>
      <c r="H169" s="7">
        <f t="shared" si="9"/>
        <v>14.040477465101432</v>
      </c>
      <c r="I169" s="7">
        <f t="shared" si="9"/>
        <v>13.438335499403729</v>
      </c>
      <c r="J169" s="7">
        <f t="shared" si="9"/>
        <v>11.281401740476841</v>
      </c>
      <c r="K169" s="7">
        <f t="shared" si="9"/>
        <v>9.8060214936725849</v>
      </c>
      <c r="L169" s="12">
        <f>AVERAGE(L71,L120,L105,L77,L130,L148,L159)</f>
        <v>9.6752167961757163</v>
      </c>
    </row>
    <row r="170" spans="1:13" x14ac:dyDescent="0.3">
      <c r="A170" s="55"/>
      <c r="B170" s="56" t="s">
        <v>128</v>
      </c>
      <c r="C170" s="4">
        <f>AVERAGE(C78,C107,C90,C143,C160)</f>
        <v>13.325185186666667</v>
      </c>
      <c r="D170" s="4">
        <f t="shared" ref="D170:J170" si="10">AVERAGE(D78,D107,D90,D143,D160)</f>
        <v>15.142918968749999</v>
      </c>
      <c r="E170" s="4">
        <f t="shared" si="10"/>
        <v>11.217021892333335</v>
      </c>
      <c r="F170" s="4">
        <f t="shared" si="10"/>
        <v>10.798888888888889</v>
      </c>
      <c r="G170" s="4">
        <f t="shared" si="10"/>
        <v>12.21</v>
      </c>
      <c r="H170" s="4">
        <f t="shared" si="10"/>
        <v>15.646666666666667</v>
      </c>
      <c r="I170" s="4">
        <f t="shared" si="10"/>
        <v>12.21</v>
      </c>
      <c r="J170" s="4">
        <f t="shared" si="10"/>
        <v>10.92</v>
      </c>
      <c r="K170" s="4">
        <f>AVERAGE(K78,K107,K90,K143,K160)</f>
        <v>10.92</v>
      </c>
      <c r="L170" s="10">
        <f>AVERAGE(L78,L107,L90,L143,L160)</f>
        <v>10.92</v>
      </c>
    </row>
    <row r="171" spans="1:13" x14ac:dyDescent="0.3">
      <c r="A171" s="53" t="s">
        <v>38</v>
      </c>
      <c r="B171" s="54" t="s">
        <v>191</v>
      </c>
      <c r="C171" s="7">
        <f t="shared" ref="C171:K171" si="11">AVERAGE(C136,C127)</f>
        <v>12.857187610874998</v>
      </c>
      <c r="D171" s="7">
        <f t="shared" si="11"/>
        <v>8.4797801664999994</v>
      </c>
      <c r="E171" s="7">
        <f t="shared" si="11"/>
        <v>5.5623628052500003</v>
      </c>
      <c r="F171" s="7">
        <f t="shared" si="11"/>
        <v>2.904825046</v>
      </c>
      <c r="G171" s="7">
        <f t="shared" si="11"/>
        <v>12.857187610874998</v>
      </c>
      <c r="H171" s="7">
        <f t="shared" si="11"/>
        <v>7.5064468331666667</v>
      </c>
      <c r="I171" s="7">
        <f t="shared" si="11"/>
        <v>5.5623628052500003</v>
      </c>
      <c r="J171" s="7">
        <f t="shared" si="11"/>
        <v>2.904825046</v>
      </c>
      <c r="K171" s="7">
        <f t="shared" si="11"/>
        <v>2.904825046</v>
      </c>
      <c r="L171" s="12">
        <f>AVERAGE(L136,L127)</f>
        <v>2.904825046</v>
      </c>
    </row>
    <row r="172" spans="1:13" x14ac:dyDescent="0.3">
      <c r="A172" s="55"/>
      <c r="B172" s="56" t="s">
        <v>188</v>
      </c>
      <c r="C172" s="4">
        <f>AVERAGE(C89,C75,C103,C126,C69,C129,C142,C157)</f>
        <v>20.191257167426308</v>
      </c>
      <c r="D172" s="4">
        <f t="shared" ref="D172:K172" si="12">AVERAGE(D89,D75,D103,D126,D69,D129,D142,D157)</f>
        <v>17.790349402401603</v>
      </c>
      <c r="E172" s="4">
        <f t="shared" si="12"/>
        <v>14.887248540717462</v>
      </c>
      <c r="F172" s="4">
        <f t="shared" si="12"/>
        <v>13.947883576059192</v>
      </c>
      <c r="G172" s="4">
        <f t="shared" si="12"/>
        <v>18.217593271612209</v>
      </c>
      <c r="H172" s="4">
        <f t="shared" si="12"/>
        <v>15.432849164739565</v>
      </c>
      <c r="I172" s="4">
        <f t="shared" si="12"/>
        <v>16.240123357240634</v>
      </c>
      <c r="J172" s="4">
        <f t="shared" si="12"/>
        <v>13.947883576059192</v>
      </c>
      <c r="K172" s="4">
        <f t="shared" si="12"/>
        <v>13.809648396607434</v>
      </c>
      <c r="L172" s="29"/>
    </row>
    <row r="173" spans="1:13" x14ac:dyDescent="0.3">
      <c r="A173" s="59"/>
      <c r="B173" s="56" t="s">
        <v>198</v>
      </c>
      <c r="C173" s="4">
        <f>AVERAGE(C131,C158)</f>
        <v>26.068576813750003</v>
      </c>
      <c r="D173" s="4">
        <f t="shared" ref="D173:K173" si="13">AVERAGE(D131,D158)</f>
        <v>33.512391895999997</v>
      </c>
      <c r="E173" s="4">
        <f t="shared" si="13"/>
        <v>27.008670952500001</v>
      </c>
      <c r="F173" s="4">
        <f t="shared" si="13"/>
        <v>27.008670952500001</v>
      </c>
      <c r="G173" s="4">
        <f t="shared" si="13"/>
        <v>35.3974563875</v>
      </c>
      <c r="H173" s="4">
        <f t="shared" si="13"/>
        <v>30.659562019000003</v>
      </c>
      <c r="I173" s="4">
        <f t="shared" si="13"/>
        <v>27.253315373333333</v>
      </c>
      <c r="J173" s="4">
        <f t="shared" si="13"/>
        <v>25.876657686666668</v>
      </c>
      <c r="K173" s="4">
        <f t="shared" si="13"/>
        <v>25.876657686666668</v>
      </c>
      <c r="L173" s="12">
        <f>AVERAGE(L131,L158)</f>
        <v>25.876657686666668</v>
      </c>
    </row>
    <row r="174" spans="1:13" x14ac:dyDescent="0.3">
      <c r="A174" s="59"/>
      <c r="B174" s="56" t="s">
        <v>196</v>
      </c>
      <c r="C174" s="4">
        <f>AVERAGE(C91,C76,C104,C82,C70,C125,C137,C156)</f>
        <v>25.507989870791977</v>
      </c>
      <c r="D174" s="4">
        <f t="shared" ref="D174:J174" si="14">AVERAGE(D91,D76,D104,D82,D70,D125,D137,D156)</f>
        <v>23.129801327957306</v>
      </c>
      <c r="E174" s="4">
        <f t="shared" si="14"/>
        <v>23.602806796726334</v>
      </c>
      <c r="F174" s="4">
        <f t="shared" si="14"/>
        <v>17.221130304172995</v>
      </c>
      <c r="G174" s="4">
        <f t="shared" si="14"/>
        <v>21.518625943344059</v>
      </c>
      <c r="H174" s="4">
        <f t="shared" si="14"/>
        <v>19.642353488561703</v>
      </c>
      <c r="I174" s="4">
        <f t="shared" si="14"/>
        <v>20.718739401393002</v>
      </c>
      <c r="J174" s="4">
        <f t="shared" si="14"/>
        <v>13.871130304172993</v>
      </c>
      <c r="K174" s="28"/>
      <c r="L174" s="29"/>
    </row>
    <row r="175" spans="1:13" x14ac:dyDescent="0.3">
      <c r="A175" s="59"/>
      <c r="B175" s="56" t="s">
        <v>156</v>
      </c>
      <c r="C175" s="4">
        <f>AVERAGE(C88,C85,C97,C98)</f>
        <v>21.195</v>
      </c>
      <c r="D175" s="4">
        <f t="shared" ref="D175:I175" si="15">AVERAGE(D88,D85,D97,D98)</f>
        <v>20.114999999999998</v>
      </c>
      <c r="E175" s="4">
        <f t="shared" si="15"/>
        <v>12.94</v>
      </c>
      <c r="F175" s="28"/>
      <c r="G175" s="4">
        <f t="shared" si="15"/>
        <v>21.195</v>
      </c>
      <c r="H175" s="4">
        <f t="shared" si="15"/>
        <v>20.114999999999998</v>
      </c>
      <c r="I175" s="4">
        <f t="shared" si="15"/>
        <v>12.94</v>
      </c>
      <c r="J175" s="28"/>
      <c r="K175" s="28"/>
      <c r="L175" s="29"/>
    </row>
    <row r="176" spans="1:13" x14ac:dyDescent="0.3">
      <c r="A176" s="59"/>
      <c r="B176" s="56" t="s">
        <v>197</v>
      </c>
      <c r="C176" s="4">
        <f>AVERAGE(C133,C141,C154)</f>
        <v>24.519538501972182</v>
      </c>
      <c r="D176" s="4">
        <f t="shared" ref="D176:J176" si="16">AVERAGE(D133,D141,D154)</f>
        <v>18.829647755193541</v>
      </c>
      <c r="E176" s="4">
        <f t="shared" si="16"/>
        <v>16.706161928134872</v>
      </c>
      <c r="F176" s="4">
        <f>AVERAGE(F133,F141,F154)</f>
        <v>15.742733760754003</v>
      </c>
      <c r="G176" s="4">
        <f t="shared" si="16"/>
        <v>24.624620432820667</v>
      </c>
      <c r="H176" s="4">
        <f t="shared" si="16"/>
        <v>18.863757011077379</v>
      </c>
      <c r="I176" s="4">
        <f t="shared" si="16"/>
        <v>16.37413460893487</v>
      </c>
      <c r="J176" s="4">
        <f t="shared" si="16"/>
        <v>15.410706441554002</v>
      </c>
      <c r="K176" s="28"/>
      <c r="L176" s="29"/>
    </row>
    <row r="177" spans="1:13" x14ac:dyDescent="0.3">
      <c r="A177" s="59"/>
      <c r="B177" s="56" t="s">
        <v>192</v>
      </c>
      <c r="C177" s="4">
        <f>AVERAGE(C149,C140,C110,C113,C99)</f>
        <v>17.592597309974529</v>
      </c>
      <c r="D177" s="4">
        <f t="shared" ref="D177:I177" si="17">AVERAGE(D149,D140,D110,D113,D99)</f>
        <v>18.499819847114289</v>
      </c>
      <c r="E177" s="4">
        <f t="shared" si="17"/>
        <v>19.293116815000001</v>
      </c>
      <c r="F177" s="4">
        <f>E177</f>
        <v>19.293116815000001</v>
      </c>
      <c r="G177" s="4">
        <f t="shared" si="17"/>
        <v>16.3</v>
      </c>
      <c r="H177" s="4">
        <f t="shared" si="17"/>
        <v>17.879172919249999</v>
      </c>
      <c r="I177" s="4">
        <f t="shared" si="17"/>
        <v>19.293116815000001</v>
      </c>
      <c r="J177" s="4">
        <f>I177</f>
        <v>19.293116815000001</v>
      </c>
      <c r="K177" s="28"/>
      <c r="L177" s="29"/>
    </row>
    <row r="178" spans="1:13" x14ac:dyDescent="0.3">
      <c r="A178" s="59"/>
      <c r="B178" s="56" t="s">
        <v>194</v>
      </c>
      <c r="C178" s="4">
        <f>AVERAGE(C147,C144,C138,C117,C112,C109,C108,C79)</f>
        <v>28.726598188221608</v>
      </c>
      <c r="D178" s="4">
        <f t="shared" ref="D178:I178" si="18">AVERAGE(D147,D144,D138,D117,D112,D109,D108,D79)</f>
        <v>17.17186134861111</v>
      </c>
      <c r="E178" s="4">
        <f t="shared" si="18"/>
        <v>20.249101435000004</v>
      </c>
      <c r="F178" s="28"/>
      <c r="G178" s="4">
        <f t="shared" si="18"/>
        <v>27.142330333833332</v>
      </c>
      <c r="H178" s="4">
        <f t="shared" si="18"/>
        <v>20.409054503384617</v>
      </c>
      <c r="I178" s="4">
        <f t="shared" si="18"/>
        <v>20.249101435000004</v>
      </c>
      <c r="J178" s="28"/>
      <c r="K178" s="28"/>
      <c r="L178" s="29"/>
    </row>
    <row r="179" spans="1:13" x14ac:dyDescent="0.3">
      <c r="A179" s="59"/>
      <c r="B179" s="56" t="s">
        <v>199</v>
      </c>
      <c r="C179" s="4">
        <f>AVERAGE(C145,C132,C111,C139,C153)</f>
        <v>28.51740212478834</v>
      </c>
      <c r="D179" s="4">
        <f t="shared" ref="D179:I179" si="19">AVERAGE(D145,D132,D111,D139,D153)</f>
        <v>26.226113776747503</v>
      </c>
      <c r="E179" s="4">
        <f t="shared" si="19"/>
        <v>30.579243875294473</v>
      </c>
      <c r="F179" s="28"/>
      <c r="G179" s="4">
        <f t="shared" si="19"/>
        <v>26.895311821576211</v>
      </c>
      <c r="H179" s="4">
        <f t="shared" si="19"/>
        <v>22.800338282808148</v>
      </c>
      <c r="I179" s="4">
        <f t="shared" si="19"/>
        <v>30.825723023529651</v>
      </c>
      <c r="J179" s="28"/>
      <c r="K179" s="28"/>
      <c r="L179" s="29"/>
      <c r="M179" s="2"/>
    </row>
    <row r="180" spans="1:13" x14ac:dyDescent="0.3">
      <c r="A180" s="59"/>
      <c r="B180" s="56" t="s">
        <v>189</v>
      </c>
      <c r="C180" s="4">
        <f>AVERAGE(C146,C124,C106,C72,C155)</f>
        <v>27.57667815005798</v>
      </c>
      <c r="D180" s="4">
        <f t="shared" ref="D180:H180" si="20">AVERAGE(D146,D124,D106,D72,D155)</f>
        <v>24.681001535645056</v>
      </c>
      <c r="E180" s="28"/>
      <c r="F180" s="28"/>
      <c r="G180" s="4">
        <f t="shared" si="20"/>
        <v>25.605340792171614</v>
      </c>
      <c r="H180" s="4">
        <f t="shared" si="20"/>
        <v>23.530016056292613</v>
      </c>
      <c r="I180" s="28"/>
      <c r="J180" s="28"/>
      <c r="K180" s="28"/>
      <c r="L180" s="29"/>
    </row>
    <row r="181" spans="1:13" x14ac:dyDescent="0.3">
      <c r="A181" s="222"/>
      <c r="B181" s="58" t="s">
        <v>200</v>
      </c>
      <c r="C181" s="9">
        <f>AVERAGE(C150,C114,C134)</f>
        <v>55.570311455888884</v>
      </c>
      <c r="D181" s="9">
        <f t="shared" ref="D181:H181" si="21">AVERAGE(D150,D114,D134)</f>
        <v>45.78029021541667</v>
      </c>
      <c r="E181" s="26"/>
      <c r="F181" s="26"/>
      <c r="G181" s="9">
        <f t="shared" si="21"/>
        <v>52.255834486388892</v>
      </c>
      <c r="H181" s="9">
        <f t="shared" si="21"/>
        <v>49.631093291455024</v>
      </c>
      <c r="I181" s="26"/>
      <c r="J181" s="26"/>
      <c r="K181" s="26"/>
      <c r="L181" s="27"/>
    </row>
    <row r="182" spans="1:13" x14ac:dyDescent="0.3">
      <c r="A182" s="11"/>
    </row>
    <row r="183" spans="1:13" ht="15" customHeight="1" x14ac:dyDescent="0.3">
      <c r="A183" s="64"/>
      <c r="B183" t="s">
        <v>90</v>
      </c>
    </row>
    <row r="184" spans="1:13" x14ac:dyDescent="0.3">
      <c r="B184" t="s">
        <v>99</v>
      </c>
      <c r="C184" s="4"/>
      <c r="D184" s="4"/>
      <c r="E184" s="4"/>
      <c r="F184" s="4"/>
      <c r="G184" s="4"/>
      <c r="H184" s="4"/>
      <c r="I184" s="4"/>
      <c r="J184" s="4"/>
      <c r="K184" s="4"/>
      <c r="L184" s="4"/>
    </row>
    <row r="185" spans="1:13" x14ac:dyDescent="0.3">
      <c r="B185" s="2"/>
      <c r="C185" s="4"/>
      <c r="D185" s="4"/>
      <c r="E185" s="4"/>
      <c r="F185" s="4"/>
      <c r="G185" s="4"/>
      <c r="H185" s="4"/>
      <c r="I185" s="4"/>
      <c r="J185" s="4"/>
      <c r="K185" s="4"/>
      <c r="L185" s="4"/>
    </row>
    <row r="186" spans="1:13" x14ac:dyDescent="0.3">
      <c r="B186" s="2"/>
      <c r="C186" s="4"/>
      <c r="D186" s="4"/>
      <c r="E186" s="4"/>
      <c r="F186" s="4"/>
      <c r="G186" s="4"/>
      <c r="H186" s="4"/>
      <c r="I186" s="4"/>
      <c r="J186" s="4"/>
      <c r="K186" s="4"/>
      <c r="L186" s="4"/>
    </row>
    <row r="187" spans="1:13" x14ac:dyDescent="0.3">
      <c r="B187" s="2"/>
      <c r="C187" s="4"/>
      <c r="D187" s="4"/>
      <c r="E187" s="4"/>
      <c r="F187" s="4"/>
      <c r="G187" s="4"/>
      <c r="H187" s="4"/>
      <c r="I187" s="4"/>
      <c r="J187" s="4"/>
      <c r="K187" s="4"/>
      <c r="L187" s="4"/>
    </row>
    <row r="188" spans="1:13" x14ac:dyDescent="0.3">
      <c r="B188" s="184"/>
      <c r="C188" s="4"/>
      <c r="D188" s="4"/>
      <c r="E188" s="4"/>
      <c r="F188" s="4"/>
      <c r="G188" s="4"/>
      <c r="H188" s="4"/>
      <c r="I188" s="4"/>
      <c r="J188" s="4"/>
      <c r="K188" s="4"/>
      <c r="L188" s="4"/>
    </row>
    <row r="189" spans="1:13" x14ac:dyDescent="0.3">
      <c r="B189" s="2"/>
      <c r="C189" s="4"/>
      <c r="D189" s="4"/>
      <c r="E189" s="4"/>
      <c r="F189" s="4"/>
      <c r="G189" s="4"/>
      <c r="H189" s="4"/>
      <c r="I189" s="4"/>
      <c r="J189" s="4"/>
      <c r="K189" s="4"/>
      <c r="L189" s="4"/>
    </row>
    <row r="190" spans="1:13" x14ac:dyDescent="0.3">
      <c r="B190" s="2"/>
      <c r="C190" s="4"/>
      <c r="D190" s="4"/>
      <c r="E190" s="4"/>
      <c r="F190" s="4"/>
      <c r="G190" s="4"/>
      <c r="H190" s="4"/>
      <c r="I190" s="4"/>
      <c r="J190" s="4"/>
      <c r="K190" s="4"/>
      <c r="L190" s="4"/>
    </row>
    <row r="191" spans="1:13" x14ac:dyDescent="0.3">
      <c r="A191" s="65"/>
      <c r="B191" s="2"/>
      <c r="C191" s="4"/>
      <c r="D191" s="4"/>
      <c r="E191" s="4"/>
      <c r="F191" s="4"/>
      <c r="G191" s="4"/>
      <c r="H191" s="4"/>
      <c r="I191" s="4"/>
      <c r="J191" s="4"/>
      <c r="K191" s="4"/>
      <c r="L191" s="4"/>
    </row>
    <row r="192" spans="1:13" x14ac:dyDescent="0.3">
      <c r="A192" s="65"/>
      <c r="B192" s="2"/>
      <c r="C192" s="4"/>
      <c r="D192" s="4"/>
      <c r="E192" s="4"/>
      <c r="F192" s="4"/>
      <c r="G192" s="4"/>
      <c r="H192" s="4"/>
      <c r="I192" s="4"/>
      <c r="J192" s="4"/>
      <c r="K192" s="4"/>
      <c r="L192" s="4"/>
    </row>
    <row r="193" spans="3:12" x14ac:dyDescent="0.3">
      <c r="C193" s="4"/>
      <c r="D193" s="4"/>
      <c r="E193" s="4"/>
      <c r="F193" s="4"/>
      <c r="G193" s="4"/>
      <c r="H193" s="4"/>
      <c r="I193" s="4"/>
      <c r="J193" s="4"/>
      <c r="K193" s="4"/>
      <c r="L193" s="4"/>
    </row>
  </sheetData>
  <mergeCells count="11">
    <mergeCell ref="C162:F162"/>
    <mergeCell ref="A66:B66"/>
    <mergeCell ref="A1:B1"/>
    <mergeCell ref="G81:K81"/>
    <mergeCell ref="C2:F2"/>
    <mergeCell ref="C81:F81"/>
    <mergeCell ref="C66:F66"/>
    <mergeCell ref="A2:B2"/>
    <mergeCell ref="G2:L2"/>
    <mergeCell ref="G66:L66"/>
    <mergeCell ref="G162:L16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88"/>
  <sheetViews>
    <sheetView zoomScale="85" zoomScaleNormal="85" workbookViewId="0">
      <selection activeCell="J70" sqref="J70"/>
    </sheetView>
  </sheetViews>
  <sheetFormatPr defaultRowHeight="14.4" x14ac:dyDescent="0.3"/>
  <cols>
    <col min="1" max="1" width="27.21875" customWidth="1"/>
    <col min="2" max="2" width="44.77734375" customWidth="1"/>
    <col min="3" max="11" width="10" bestFit="1" customWidth="1"/>
    <col min="12" max="12" width="10" customWidth="1"/>
    <col min="13" max="13" width="39.77734375" customWidth="1"/>
  </cols>
  <sheetData>
    <row r="1" spans="1:27" ht="21.75" customHeight="1" x14ac:dyDescent="0.3">
      <c r="A1" s="318" t="s">
        <v>301</v>
      </c>
      <c r="B1" s="318"/>
      <c r="K1" s="67"/>
      <c r="L1" s="67"/>
    </row>
    <row r="2" spans="1:27" ht="18" x14ac:dyDescent="0.35">
      <c r="A2" s="316" t="s">
        <v>50</v>
      </c>
      <c r="B2" s="325"/>
      <c r="C2" s="313" t="s">
        <v>11</v>
      </c>
      <c r="D2" s="314"/>
      <c r="E2" s="314"/>
      <c r="F2" s="314"/>
      <c r="G2" s="320" t="s">
        <v>12</v>
      </c>
      <c r="H2" s="321"/>
      <c r="I2" s="321"/>
      <c r="J2" s="321"/>
      <c r="K2" s="321"/>
      <c r="L2" s="322"/>
      <c r="N2" s="77"/>
      <c r="O2" s="77"/>
      <c r="P2" s="77"/>
      <c r="Q2" s="77"/>
      <c r="R2" s="77"/>
      <c r="S2" s="77"/>
      <c r="T2" s="77"/>
      <c r="U2" s="77"/>
      <c r="V2" s="77"/>
      <c r="W2" s="77"/>
      <c r="X2" s="77"/>
      <c r="Y2" s="77"/>
      <c r="Z2" s="77"/>
    </row>
    <row r="3" spans="1:27" x14ac:dyDescent="0.3">
      <c r="A3" s="68" t="s">
        <v>24</v>
      </c>
      <c r="B3" s="69" t="s">
        <v>88</v>
      </c>
      <c r="C3" s="19" t="s">
        <v>0</v>
      </c>
      <c r="D3" s="20" t="s">
        <v>1</v>
      </c>
      <c r="E3" s="20" t="s">
        <v>2</v>
      </c>
      <c r="F3" s="20" t="s">
        <v>3</v>
      </c>
      <c r="G3" s="19" t="s">
        <v>0</v>
      </c>
      <c r="H3" s="20" t="s">
        <v>1</v>
      </c>
      <c r="I3" s="20" t="s">
        <v>2</v>
      </c>
      <c r="J3" s="20" t="s">
        <v>3</v>
      </c>
      <c r="K3" s="20" t="s">
        <v>4</v>
      </c>
      <c r="L3" s="21" t="s">
        <v>309</v>
      </c>
      <c r="N3" s="77"/>
      <c r="O3" s="77"/>
      <c r="P3" s="77"/>
      <c r="Q3" s="77"/>
      <c r="R3" s="77"/>
      <c r="S3" s="77"/>
      <c r="T3" s="77"/>
      <c r="U3" s="77"/>
      <c r="V3" s="77"/>
      <c r="W3" s="77"/>
      <c r="X3" s="77"/>
      <c r="Y3" s="77"/>
      <c r="Z3" s="77"/>
    </row>
    <row r="4" spans="1:27" x14ac:dyDescent="0.3">
      <c r="A4" s="33" t="s">
        <v>271</v>
      </c>
      <c r="B4" s="34" t="s">
        <v>31</v>
      </c>
      <c r="C4" s="87" t="s">
        <v>78</v>
      </c>
      <c r="D4" s="87" t="s">
        <v>53</v>
      </c>
      <c r="E4" s="87" t="s">
        <v>54</v>
      </c>
      <c r="F4" s="87" t="s">
        <v>92</v>
      </c>
      <c r="G4" s="78" t="s">
        <v>78</v>
      </c>
      <c r="H4" s="78" t="s">
        <v>53</v>
      </c>
      <c r="I4" s="78" t="s">
        <v>54</v>
      </c>
      <c r="J4" s="78" t="s">
        <v>92</v>
      </c>
      <c r="K4" s="78" t="s">
        <v>93</v>
      </c>
      <c r="L4" s="79" t="s">
        <v>310</v>
      </c>
      <c r="M4" s="86" t="s">
        <v>100</v>
      </c>
      <c r="N4" s="1" t="s">
        <v>138</v>
      </c>
      <c r="O4" s="1" t="s">
        <v>139</v>
      </c>
      <c r="P4" s="3" t="s">
        <v>272</v>
      </c>
      <c r="Q4" s="3"/>
    </row>
    <row r="5" spans="1:27" x14ac:dyDescent="0.3">
      <c r="A5" s="11"/>
      <c r="B5" s="2" t="s">
        <v>7</v>
      </c>
      <c r="C5">
        <f>0.0001*EXP(0.0947*15)/0.01</f>
        <v>4.1391895176977743E-2</v>
      </c>
      <c r="D5">
        <f>0.0001*EXP(0.0947*25)/0.01</f>
        <v>0.10670682204911275</v>
      </c>
      <c r="E5">
        <f>0.0001*EXP(0.0947*35)/0.01</f>
        <v>0.27508636227302108</v>
      </c>
      <c r="F5" s="42"/>
      <c r="G5">
        <f>0.0001*EXP(0.0947*15)/0.01</f>
        <v>4.1391895176977743E-2</v>
      </c>
      <c r="H5">
        <f>0.0001*EXP(0.0947*25)/0.01</f>
        <v>0.10670682204911275</v>
      </c>
      <c r="I5">
        <f>0.0001*EXP(0.0947*35)/0.01</f>
        <v>0.27508636227302108</v>
      </c>
      <c r="J5">
        <f>0.0001*EXP(0.0947*45)/0.01</f>
        <v>0.70916278130534915</v>
      </c>
      <c r="K5" s="71"/>
      <c r="L5" s="73"/>
      <c r="M5" t="s">
        <v>98</v>
      </c>
      <c r="P5" s="272" t="s">
        <v>246</v>
      </c>
      <c r="R5" s="2"/>
      <c r="S5" s="14"/>
      <c r="T5" s="14"/>
      <c r="U5" s="14"/>
      <c r="V5" s="14"/>
      <c r="W5" s="14"/>
      <c r="X5" s="14"/>
      <c r="Y5" s="14"/>
      <c r="Z5" s="14"/>
      <c r="AA5" s="14"/>
    </row>
    <row r="6" spans="1:27" x14ac:dyDescent="0.3">
      <c r="A6" s="38"/>
      <c r="B6" s="2" t="s">
        <v>8</v>
      </c>
      <c r="C6" s="265">
        <f>$N6*C$24^$O6</f>
        <v>8.366962252518452E-2</v>
      </c>
      <c r="D6" s="265">
        <f t="shared" ref="D6:J6" si="0">$N6*D$24^$O6</f>
        <v>0.24202371042559193</v>
      </c>
      <c r="E6" s="265">
        <f t="shared" si="0"/>
        <v>0.48719400919826361</v>
      </c>
      <c r="F6" s="265">
        <f>$N6*F$24^$O6</f>
        <v>0.82157276608673468</v>
      </c>
      <c r="G6" s="265">
        <f t="shared" si="0"/>
        <v>8.366962252518452E-2</v>
      </c>
      <c r="H6" s="265">
        <f t="shared" si="0"/>
        <v>0.24202371042559193</v>
      </c>
      <c r="I6" s="265">
        <f t="shared" si="0"/>
        <v>0.48719400919826361</v>
      </c>
      <c r="J6" s="265">
        <f t="shared" si="0"/>
        <v>0.82157276608673468</v>
      </c>
      <c r="K6" s="265">
        <f>$N6*K$24^$O6</f>
        <v>1.2469739904049904</v>
      </c>
      <c r="L6" s="301">
        <f>$N6*L$24^$O6</f>
        <v>1.7648670592070113</v>
      </c>
      <c r="M6" t="s">
        <v>255</v>
      </c>
      <c r="N6">
        <v>2.9999999999999997E-4</v>
      </c>
      <c r="O6">
        <v>2.0792999999999999</v>
      </c>
      <c r="R6" s="2"/>
      <c r="S6" s="14"/>
      <c r="T6" s="14"/>
      <c r="U6" s="14"/>
      <c r="V6" s="14"/>
      <c r="W6" s="14"/>
      <c r="X6" s="14"/>
      <c r="Y6" s="14"/>
      <c r="Z6" s="14"/>
      <c r="AA6" s="14"/>
    </row>
    <row r="7" spans="1:27" x14ac:dyDescent="0.3">
      <c r="A7" s="38"/>
      <c r="B7" s="2"/>
      <c r="C7" s="14"/>
      <c r="D7" s="14"/>
      <c r="E7" s="14"/>
      <c r="F7" s="14"/>
      <c r="G7" s="14"/>
      <c r="H7" s="14"/>
      <c r="I7" s="14"/>
      <c r="J7" s="14"/>
      <c r="K7" s="14"/>
      <c r="L7" s="17"/>
    </row>
    <row r="8" spans="1:27" ht="15" customHeight="1" x14ac:dyDescent="0.3">
      <c r="A8" s="39" t="s">
        <v>21</v>
      </c>
      <c r="B8" s="23" t="s">
        <v>33</v>
      </c>
      <c r="C8" s="78" t="s">
        <v>78</v>
      </c>
      <c r="D8" s="78" t="s">
        <v>53</v>
      </c>
      <c r="E8" s="78" t="s">
        <v>54</v>
      </c>
      <c r="F8" s="78" t="s">
        <v>92</v>
      </c>
      <c r="G8" s="78" t="s">
        <v>78</v>
      </c>
      <c r="H8" s="78" t="s">
        <v>53</v>
      </c>
      <c r="I8" s="78" t="s">
        <v>54</v>
      </c>
      <c r="J8" s="78" t="s">
        <v>92</v>
      </c>
      <c r="K8" s="23"/>
      <c r="L8" s="43"/>
      <c r="N8" s="76"/>
      <c r="O8" s="76"/>
      <c r="P8" s="76"/>
      <c r="Q8" s="76"/>
      <c r="R8" s="76"/>
      <c r="S8" s="76"/>
      <c r="T8" s="76"/>
      <c r="U8" s="76"/>
      <c r="V8" s="76"/>
      <c r="W8" s="76"/>
      <c r="X8" s="76"/>
      <c r="Y8" s="76"/>
      <c r="Z8" s="76"/>
    </row>
    <row r="9" spans="1:27" x14ac:dyDescent="0.3">
      <c r="A9" s="11"/>
      <c r="B9" s="2" t="s">
        <v>7</v>
      </c>
      <c r="F9" s="42"/>
      <c r="J9" s="42"/>
      <c r="K9" s="42"/>
      <c r="L9" s="44"/>
      <c r="M9" s="323" t="s">
        <v>96</v>
      </c>
      <c r="N9" s="323"/>
      <c r="O9" s="323"/>
      <c r="P9" s="323"/>
      <c r="Q9" s="323"/>
      <c r="R9" s="323"/>
      <c r="S9" s="323"/>
      <c r="T9" s="323"/>
      <c r="U9" s="323"/>
      <c r="V9" s="323"/>
      <c r="W9" s="323"/>
      <c r="X9" s="323"/>
      <c r="Y9" s="323"/>
      <c r="Z9" s="323"/>
    </row>
    <row r="10" spans="1:27" x14ac:dyDescent="0.3">
      <c r="A10" s="11"/>
      <c r="B10" s="2" t="s">
        <v>8</v>
      </c>
      <c r="C10" s="74">
        <v>8.2916741089848253E-3</v>
      </c>
      <c r="D10" s="74">
        <v>9.3857956855764285E-2</v>
      </c>
      <c r="E10" s="74">
        <v>0.4786224971911815</v>
      </c>
      <c r="F10" s="74">
        <v>1.6424614787364737</v>
      </c>
      <c r="G10" s="74">
        <v>8.2916741089848253E-3</v>
      </c>
      <c r="H10" s="74">
        <v>9.3857956855764285E-2</v>
      </c>
      <c r="I10" s="74">
        <v>0.4786224971911815</v>
      </c>
      <c r="J10" s="74">
        <v>1.6424614787364737</v>
      </c>
      <c r="K10" s="75">
        <v>1.6424614787364737</v>
      </c>
      <c r="L10" s="80"/>
      <c r="M10" s="323"/>
      <c r="N10" s="323"/>
      <c r="O10" s="323"/>
      <c r="P10" s="323"/>
      <c r="Q10" s="323"/>
      <c r="R10" s="323"/>
      <c r="S10" s="323"/>
      <c r="T10" s="323"/>
      <c r="U10" s="323"/>
      <c r="V10" s="323"/>
      <c r="W10" s="323"/>
      <c r="X10" s="323"/>
      <c r="Y10" s="323"/>
      <c r="Z10" s="323"/>
    </row>
    <row r="11" spans="1:27" x14ac:dyDescent="0.3">
      <c r="A11" s="11"/>
      <c r="B11" s="2"/>
      <c r="C11" s="72"/>
      <c r="D11" s="72"/>
      <c r="E11" s="72"/>
      <c r="F11" s="72"/>
      <c r="G11" s="72"/>
      <c r="H11" s="72"/>
      <c r="I11" s="72"/>
      <c r="J11" s="72"/>
      <c r="K11" s="72"/>
      <c r="L11" s="302"/>
      <c r="M11" s="76"/>
      <c r="N11" s="76"/>
      <c r="O11" s="76"/>
      <c r="P11" s="76"/>
      <c r="Q11" s="76"/>
      <c r="R11" s="76"/>
      <c r="S11" s="76"/>
      <c r="T11" s="76"/>
      <c r="U11" s="76"/>
    </row>
    <row r="12" spans="1:27" ht="15" customHeight="1" x14ac:dyDescent="0.3">
      <c r="A12" s="39" t="s">
        <v>20</v>
      </c>
      <c r="B12" s="23" t="s">
        <v>35</v>
      </c>
      <c r="C12" s="1" t="s">
        <v>23</v>
      </c>
      <c r="D12" s="23"/>
      <c r="E12" s="1" t="s">
        <v>10</v>
      </c>
      <c r="F12" s="1" t="s">
        <v>10</v>
      </c>
      <c r="G12" s="1" t="s">
        <v>23</v>
      </c>
      <c r="H12" s="23"/>
      <c r="I12" s="1" t="s">
        <v>10</v>
      </c>
      <c r="J12" s="1" t="s">
        <v>10</v>
      </c>
      <c r="K12" s="23"/>
      <c r="L12" s="43"/>
      <c r="N12" s="66"/>
      <c r="O12" s="66"/>
      <c r="P12" s="66"/>
      <c r="Q12" s="66"/>
      <c r="R12" s="66"/>
      <c r="S12" s="66"/>
      <c r="T12" s="66"/>
      <c r="U12" s="66"/>
      <c r="V12" s="66"/>
      <c r="W12" s="66"/>
      <c r="X12" s="66"/>
      <c r="Y12" s="66"/>
      <c r="Z12" s="66"/>
    </row>
    <row r="13" spans="1:27" ht="15" customHeight="1" x14ac:dyDescent="0.3">
      <c r="A13" s="11"/>
      <c r="B13" s="2" t="s">
        <v>83</v>
      </c>
      <c r="C13" s="14">
        <f>0.0022/0.01</f>
        <v>0.22</v>
      </c>
      <c r="D13" s="14"/>
      <c r="E13" s="14"/>
      <c r="F13" s="71"/>
      <c r="G13" s="72">
        <f>0.0022/0.01</f>
        <v>0.22</v>
      </c>
      <c r="H13" s="14"/>
      <c r="I13" s="14"/>
      <c r="J13" s="14"/>
      <c r="K13" s="71"/>
      <c r="L13" s="73"/>
      <c r="M13" s="324" t="s">
        <v>127</v>
      </c>
      <c r="N13" s="324"/>
      <c r="O13" s="324"/>
      <c r="P13" s="324"/>
      <c r="Q13" s="324"/>
      <c r="R13" s="324"/>
      <c r="S13" s="324"/>
      <c r="T13" s="324"/>
      <c r="U13" s="324"/>
      <c r="V13" s="324"/>
      <c r="W13" s="324"/>
      <c r="X13" s="324"/>
      <c r="Y13" s="324"/>
      <c r="Z13" s="66"/>
    </row>
    <row r="14" spans="1:27" ht="15" customHeight="1" x14ac:dyDescent="0.3">
      <c r="A14" s="38"/>
      <c r="B14" s="2" t="s">
        <v>61</v>
      </c>
      <c r="C14" s="14"/>
      <c r="D14" s="14"/>
      <c r="E14" s="74">
        <f>0.256/0.15</f>
        <v>1.7066666666666668</v>
      </c>
      <c r="F14" s="74">
        <f>0.256/0.15</f>
        <v>1.7066666666666668</v>
      </c>
      <c r="G14" s="14"/>
      <c r="H14" s="14"/>
      <c r="I14" s="74">
        <f>0.256/0.15</f>
        <v>1.7066666666666668</v>
      </c>
      <c r="J14" s="74">
        <f>0.256/0.15</f>
        <v>1.7066666666666668</v>
      </c>
      <c r="K14" s="74">
        <f>0.256/0.15</f>
        <v>1.7066666666666668</v>
      </c>
      <c r="L14" s="303"/>
      <c r="M14" s="324"/>
      <c r="N14" s="324"/>
      <c r="O14" s="324"/>
      <c r="P14" s="324"/>
      <c r="Q14" s="324"/>
      <c r="R14" s="324"/>
      <c r="S14" s="324"/>
      <c r="T14" s="324"/>
      <c r="U14" s="324"/>
      <c r="V14" s="324"/>
      <c r="W14" s="324"/>
      <c r="X14" s="324"/>
      <c r="Y14" s="324"/>
      <c r="Z14" s="66"/>
    </row>
    <row r="15" spans="1:27" ht="15" customHeight="1" x14ac:dyDescent="0.3">
      <c r="A15" s="38"/>
      <c r="B15" s="2"/>
      <c r="C15" s="14"/>
      <c r="D15" s="14"/>
      <c r="E15" s="74"/>
      <c r="F15" s="74"/>
      <c r="G15" s="14"/>
      <c r="H15" s="14"/>
      <c r="I15" s="14"/>
      <c r="J15" s="14"/>
      <c r="K15" s="14"/>
      <c r="L15" s="17"/>
      <c r="M15" s="232"/>
      <c r="N15" s="232"/>
      <c r="O15" s="232"/>
      <c r="P15" s="232"/>
      <c r="Q15" s="232"/>
      <c r="R15" s="232"/>
      <c r="S15" s="232"/>
      <c r="T15" s="232"/>
      <c r="U15" s="232"/>
      <c r="V15" s="232"/>
      <c r="W15" s="232"/>
      <c r="X15" s="232"/>
      <c r="Y15" s="232"/>
      <c r="Z15" s="66"/>
    </row>
    <row r="16" spans="1:27" ht="15" customHeight="1" x14ac:dyDescent="0.3">
      <c r="A16" s="39" t="s">
        <v>223</v>
      </c>
      <c r="B16" s="23" t="s">
        <v>35</v>
      </c>
      <c r="C16" s="1"/>
      <c r="D16" s="23"/>
      <c r="E16" s="1"/>
      <c r="F16" s="1" t="s">
        <v>221</v>
      </c>
      <c r="G16" s="1"/>
      <c r="H16" s="23"/>
      <c r="I16" s="1"/>
      <c r="J16" s="1" t="s">
        <v>221</v>
      </c>
      <c r="K16" s="23"/>
      <c r="L16" s="43"/>
      <c r="M16" s="232"/>
      <c r="N16" s="232"/>
      <c r="O16" s="232"/>
      <c r="P16" s="232"/>
      <c r="Q16" s="232"/>
      <c r="R16" s="232"/>
      <c r="S16" s="232"/>
      <c r="T16" s="232"/>
      <c r="U16" s="232"/>
      <c r="V16" s="232"/>
      <c r="W16" s="232"/>
      <c r="X16" s="232"/>
      <c r="Y16" s="232"/>
      <c r="Z16" s="66"/>
    </row>
    <row r="17" spans="1:26" ht="15" customHeight="1" x14ac:dyDescent="0.3">
      <c r="A17" s="38"/>
      <c r="B17" s="2" t="s">
        <v>148</v>
      </c>
      <c r="C17" s="14"/>
      <c r="D17" s="14"/>
      <c r="E17" s="74"/>
      <c r="F17" s="74">
        <f>0.5776/0.486</f>
        <v>1.188477366255144</v>
      </c>
      <c r="G17" s="14"/>
      <c r="H17" s="14"/>
      <c r="I17" s="14"/>
      <c r="J17" s="74">
        <f>0.5776/0.486</f>
        <v>1.188477366255144</v>
      </c>
      <c r="K17" s="75">
        <f>0.5776/0.486</f>
        <v>1.188477366255144</v>
      </c>
      <c r="L17" s="80"/>
      <c r="M17" s="235" t="s">
        <v>247</v>
      </c>
      <c r="N17" s="232"/>
      <c r="O17" s="232"/>
      <c r="P17" s="232"/>
      <c r="Q17" s="232"/>
      <c r="R17" s="232"/>
      <c r="S17" s="232"/>
      <c r="T17" s="232"/>
      <c r="U17" s="232"/>
      <c r="V17" s="232"/>
      <c r="W17" s="232"/>
      <c r="X17" s="232"/>
      <c r="Y17" s="232"/>
      <c r="Z17" s="66"/>
    </row>
    <row r="18" spans="1:26" ht="15" customHeight="1" x14ac:dyDescent="0.3">
      <c r="A18" s="11"/>
      <c r="B18" s="2"/>
      <c r="C18" s="14"/>
      <c r="D18" s="14"/>
      <c r="E18" s="14"/>
      <c r="F18" s="14"/>
      <c r="G18" s="72"/>
      <c r="H18" s="14"/>
      <c r="I18" s="14"/>
      <c r="J18" s="14"/>
      <c r="K18" s="14"/>
      <c r="L18" s="17"/>
      <c r="M18" s="66"/>
      <c r="N18" s="66"/>
      <c r="O18" s="66"/>
      <c r="P18" s="66"/>
      <c r="Q18" s="66"/>
      <c r="R18" s="66"/>
      <c r="S18" s="66"/>
      <c r="T18" s="66"/>
      <c r="U18" s="66"/>
      <c r="V18" s="66"/>
      <c r="W18" s="66"/>
      <c r="X18" s="66"/>
      <c r="Y18" s="66"/>
      <c r="Z18" s="66"/>
    </row>
    <row r="19" spans="1:26" ht="14.55" customHeight="1" x14ac:dyDescent="0.3">
      <c r="A19" s="39" t="s">
        <v>242</v>
      </c>
      <c r="B19" s="23" t="s">
        <v>183</v>
      </c>
      <c r="C19" s="214" t="s">
        <v>0</v>
      </c>
      <c r="D19" s="214" t="s">
        <v>1</v>
      </c>
      <c r="E19" s="214" t="s">
        <v>2</v>
      </c>
      <c r="F19" s="214" t="s">
        <v>3</v>
      </c>
      <c r="G19" s="214" t="s">
        <v>0</v>
      </c>
      <c r="H19" s="214" t="s">
        <v>1</v>
      </c>
      <c r="I19" s="214" t="s">
        <v>2</v>
      </c>
      <c r="J19" s="214" t="s">
        <v>3</v>
      </c>
      <c r="K19" s="214" t="s">
        <v>4</v>
      </c>
      <c r="L19" s="215"/>
      <c r="M19" t="s">
        <v>215</v>
      </c>
      <c r="W19" s="66"/>
      <c r="X19" s="66"/>
      <c r="Y19" s="66"/>
      <c r="Z19" s="66"/>
    </row>
    <row r="20" spans="1:26" x14ac:dyDescent="0.3">
      <c r="A20" s="38"/>
      <c r="B20" s="2" t="s">
        <v>238</v>
      </c>
      <c r="C20" s="14">
        <f>0.00004*(15^2.3241)/0.15</f>
        <v>0.14431863994699767</v>
      </c>
      <c r="D20" s="14">
        <f>0.00004*(25^2.3241)/0.15</f>
        <v>0.47306531450529649</v>
      </c>
      <c r="E20" s="14">
        <f>0.00004*(35^2.3241)/0.15</f>
        <v>1.0340398456028981</v>
      </c>
      <c r="F20" s="14">
        <f>0.00004*(45^2.3241)/0.15</f>
        <v>1.8543851275999079</v>
      </c>
      <c r="G20" s="14">
        <f>0.00004*(15^2.3241)/0.15</f>
        <v>0.14431863994699767</v>
      </c>
      <c r="H20" s="14">
        <f>0.00004*(25^2.3241)/0.15</f>
        <v>0.47306531450529649</v>
      </c>
      <c r="I20" s="14">
        <f>0.00004*(35^2.3241)/0.15</f>
        <v>1.0340398456028981</v>
      </c>
      <c r="J20" s="14">
        <f>0.00004*(45^2.3241)/0.15</f>
        <v>1.8543851275999079</v>
      </c>
      <c r="K20" s="14">
        <f>0.00004*(55^2.3241)/0.15</f>
        <v>2.9562806374809716</v>
      </c>
      <c r="L20" s="17">
        <f>0.00004*(65^2.3241)/0.15</f>
        <v>4.3587369934757145</v>
      </c>
      <c r="M20" s="240" t="s">
        <v>212</v>
      </c>
      <c r="N20" s="233">
        <v>2.1270000000000001E-2</v>
      </c>
      <c r="O20" s="15">
        <v>0.12267</v>
      </c>
      <c r="P20" s="15">
        <v>0.13586749999999997</v>
      </c>
      <c r="Q20" s="15">
        <v>0.398725</v>
      </c>
      <c r="R20" s="15">
        <v>2.1270000000000001E-2</v>
      </c>
      <c r="S20" s="15">
        <v>0.12267</v>
      </c>
      <c r="T20" s="15">
        <v>0.13586749999999997</v>
      </c>
      <c r="U20" s="15">
        <v>0.398725</v>
      </c>
      <c r="V20" s="16">
        <v>0.49721250000000006</v>
      </c>
      <c r="W20" s="66"/>
      <c r="X20" s="66"/>
      <c r="Y20" s="66"/>
      <c r="Z20" s="66"/>
    </row>
    <row r="21" spans="1:26" x14ac:dyDescent="0.3">
      <c r="A21" s="11"/>
      <c r="B21" s="2" t="s">
        <v>148</v>
      </c>
      <c r="C21">
        <f>0.00005*(15^2.2923)/0.15</f>
        <v>0.1655132392884914</v>
      </c>
      <c r="D21">
        <f>0.00005*(25^2.2923)/0.15</f>
        <v>0.53379761269525106</v>
      </c>
      <c r="E21">
        <f>0.00005*(35^2.2923)/0.15</f>
        <v>1.1543723700257207</v>
      </c>
      <c r="F21">
        <f>0.00005*(45^2.2923)/0.15</f>
        <v>2.0537037239495453</v>
      </c>
      <c r="G21">
        <f>0.00005*(15^2.2923)/0.15</f>
        <v>0.1655132392884914</v>
      </c>
      <c r="H21">
        <f>0.00005*(25^2.2923)/0.15</f>
        <v>0.53379761269525106</v>
      </c>
      <c r="I21">
        <f>0.00005*(35^2.2923)/0.15</f>
        <v>1.1543723700257207</v>
      </c>
      <c r="J21">
        <f>0.00005*(45^2.2923)/0.15</f>
        <v>2.0537037239495453</v>
      </c>
      <c r="K21">
        <f>0.00005*(55^2.2923)/0.15</f>
        <v>3.2532102981759601</v>
      </c>
      <c r="L21" s="31">
        <f>0.00005*(65^2.2923)/0.15</f>
        <v>4.7711166266003593</v>
      </c>
      <c r="M21" s="240" t="s">
        <v>213</v>
      </c>
      <c r="N21" s="11">
        <v>5.5217999999999996E-2</v>
      </c>
      <c r="O21">
        <v>0.10611264705882352</v>
      </c>
      <c r="P21">
        <v>0.2333569565217391</v>
      </c>
      <c r="Q21">
        <v>0.37318200000000001</v>
      </c>
      <c r="R21">
        <v>5.5217999999999996E-2</v>
      </c>
      <c r="S21">
        <v>0.10611264705882352</v>
      </c>
      <c r="T21">
        <v>0.2333569565217391</v>
      </c>
      <c r="U21">
        <v>0.37318200000000001</v>
      </c>
      <c r="V21" s="31">
        <v>0.50448000000000004</v>
      </c>
      <c r="W21" t="s">
        <v>211</v>
      </c>
    </row>
    <row r="22" spans="1:26" x14ac:dyDescent="0.3">
      <c r="A22" s="11"/>
      <c r="B22" s="2" t="s">
        <v>7</v>
      </c>
      <c r="C22">
        <f>0.0006*EXP(0.0865*15)/0.01</f>
        <v>0.21960809297716746</v>
      </c>
      <c r="D22">
        <f>0.0006*EXP(0.0865*25)/0.01</f>
        <v>0.52157055735060009</v>
      </c>
      <c r="E22">
        <f>0.0006*EXP(0.0865*35)/0.01</f>
        <v>1.2387332479741497</v>
      </c>
      <c r="F22" s="42"/>
      <c r="G22">
        <f>0.0006*EXP(0.0865*15)/0.01</f>
        <v>0.21960809297716746</v>
      </c>
      <c r="H22">
        <f>0.0006*EXP(0.0865*25)/0.01</f>
        <v>0.52157055735060009</v>
      </c>
      <c r="I22">
        <f>0.0006*EXP(0.0865*35)/0.01</f>
        <v>1.2387332479741497</v>
      </c>
      <c r="J22">
        <f>0.0006*EXP(0.0865*45)/0.01</f>
        <v>2.9419990028407996</v>
      </c>
      <c r="K22" s="42"/>
      <c r="L22" s="44"/>
      <c r="M22" s="240" t="s">
        <v>214</v>
      </c>
      <c r="N22" s="5">
        <v>2.7130000000000006E-3</v>
      </c>
      <c r="O22" s="225">
        <v>5.6849333333333337E-3</v>
      </c>
      <c r="P22" s="225"/>
      <c r="Q22" s="231"/>
      <c r="R22" s="225">
        <v>2.7130000000000006E-3</v>
      </c>
      <c r="S22" s="225">
        <v>5.6849333333333337E-3</v>
      </c>
      <c r="T22" s="225"/>
      <c r="U22" s="231"/>
      <c r="V22" s="195"/>
    </row>
    <row r="23" spans="1:26" x14ac:dyDescent="0.3">
      <c r="B23" s="2"/>
      <c r="L23" s="31"/>
      <c r="M23" s="240"/>
    </row>
    <row r="24" spans="1:26" ht="14.55" customHeight="1" x14ac:dyDescent="0.3">
      <c r="A24" s="63" t="s">
        <v>243</v>
      </c>
      <c r="B24" s="23" t="s">
        <v>34</v>
      </c>
      <c r="C24" s="1">
        <v>15</v>
      </c>
      <c r="D24" s="1">
        <v>25</v>
      </c>
      <c r="E24" s="1">
        <v>35</v>
      </c>
      <c r="F24" s="1">
        <v>45</v>
      </c>
      <c r="G24" s="1">
        <v>15</v>
      </c>
      <c r="H24" s="1">
        <v>25</v>
      </c>
      <c r="I24" s="1">
        <v>35</v>
      </c>
      <c r="J24" s="1">
        <v>45</v>
      </c>
      <c r="K24" s="1">
        <v>55</v>
      </c>
      <c r="L24" s="40">
        <v>65</v>
      </c>
      <c r="M24" t="s">
        <v>252</v>
      </c>
      <c r="N24" s="1" t="s">
        <v>138</v>
      </c>
      <c r="O24" s="1" t="s">
        <v>139</v>
      </c>
      <c r="P24" s="66"/>
      <c r="Q24" s="66"/>
      <c r="R24" s="66"/>
      <c r="S24" s="66"/>
      <c r="T24" s="66"/>
      <c r="U24" s="66"/>
      <c r="V24" s="66"/>
    </row>
    <row r="25" spans="1:26" ht="14.55" customHeight="1" x14ac:dyDescent="0.3">
      <c r="A25" s="241"/>
      <c r="B25" s="184" t="s">
        <v>8</v>
      </c>
      <c r="C25" s="265">
        <f>$N25*C$24^$O25/100</f>
        <v>6.212075320052076E-2</v>
      </c>
      <c r="D25" s="265">
        <f t="shared" ref="D25:L26" si="1">$N25*D$24^$O25/100</f>
        <v>0.18516092405874512</v>
      </c>
      <c r="E25" s="265">
        <f t="shared" si="1"/>
        <v>0.38016407986422357</v>
      </c>
      <c r="F25" s="265">
        <f t="shared" si="1"/>
        <v>0.65061182949113061</v>
      </c>
      <c r="G25" s="265">
        <f t="shared" si="1"/>
        <v>6.212075320052076E-2</v>
      </c>
      <c r="H25" s="265">
        <f t="shared" si="1"/>
        <v>0.18516092405874512</v>
      </c>
      <c r="I25" s="265">
        <f t="shared" si="1"/>
        <v>0.38016407986422357</v>
      </c>
      <c r="J25" s="265">
        <f t="shared" si="1"/>
        <v>0.65061182949113061</v>
      </c>
      <c r="K25" s="265">
        <f t="shared" si="1"/>
        <v>0.99919219067700649</v>
      </c>
      <c r="L25" s="301">
        <f t="shared" si="1"/>
        <v>1.4281122927897265</v>
      </c>
      <c r="M25" s="240" t="s">
        <v>239</v>
      </c>
      <c r="N25" s="266">
        <v>1.9E-2</v>
      </c>
      <c r="O25">
        <v>2.1379999999999999</v>
      </c>
      <c r="P25" s="66"/>
      <c r="Q25" s="66"/>
      <c r="R25" s="66"/>
      <c r="S25" s="66"/>
      <c r="T25" s="66"/>
      <c r="U25" s="66"/>
      <c r="V25" s="66"/>
    </row>
    <row r="26" spans="1:26" ht="14.55" customHeight="1" x14ac:dyDescent="0.3">
      <c r="A26" s="5"/>
      <c r="B26" s="258" t="s">
        <v>7</v>
      </c>
      <c r="C26" s="18">
        <f>$N26*C$24^$O26/100</f>
        <v>9.6412932645576085E-2</v>
      </c>
      <c r="D26" s="18">
        <f t="shared" si="1"/>
        <v>0.2304672714161845</v>
      </c>
      <c r="E26" s="18">
        <f t="shared" si="1"/>
        <v>0.40916991035352063</v>
      </c>
      <c r="F26" s="231"/>
      <c r="G26" s="18">
        <f>$N26*G$24^$O26/100</f>
        <v>9.6412932645576085E-2</v>
      </c>
      <c r="H26" s="18">
        <f t="shared" si="1"/>
        <v>0.2304672714161845</v>
      </c>
      <c r="I26" s="18">
        <f t="shared" si="1"/>
        <v>0.40916991035352063</v>
      </c>
      <c r="J26" s="18">
        <f>$N26*J$24^$O26/100</f>
        <v>0.62820899969288713</v>
      </c>
      <c r="K26" s="231"/>
      <c r="L26" s="195"/>
      <c r="M26" s="240" t="s">
        <v>239</v>
      </c>
      <c r="N26" s="266">
        <v>9.5000000000000001E-2</v>
      </c>
      <c r="O26">
        <v>1.706</v>
      </c>
      <c r="P26" s="66"/>
      <c r="Q26" s="66"/>
      <c r="R26" s="66"/>
      <c r="S26" s="66"/>
      <c r="T26" s="66"/>
      <c r="U26" s="66"/>
      <c r="V26" s="66"/>
    </row>
    <row r="27" spans="1:26" x14ac:dyDescent="0.3">
      <c r="M27" s="241"/>
    </row>
    <row r="28" spans="1:26" ht="18.75" customHeight="1" x14ac:dyDescent="0.35">
      <c r="A28" s="316" t="s">
        <v>38</v>
      </c>
      <c r="B28" s="317"/>
      <c r="C28" s="313" t="s">
        <v>11</v>
      </c>
      <c r="D28" s="314"/>
      <c r="E28" s="314"/>
      <c r="F28" s="315"/>
      <c r="G28" s="320" t="s">
        <v>12</v>
      </c>
      <c r="H28" s="321"/>
      <c r="I28" s="321"/>
      <c r="J28" s="321"/>
      <c r="K28" s="321"/>
      <c r="L28" s="322"/>
      <c r="M28" s="243"/>
      <c r="N28">
        <v>2.9999999999999997E-4</v>
      </c>
      <c r="O28">
        <v>2.0792999999999999</v>
      </c>
      <c r="P28" s="243"/>
      <c r="Q28" s="243"/>
      <c r="R28" s="243"/>
      <c r="S28" s="243"/>
      <c r="T28" s="243"/>
      <c r="U28" s="243"/>
      <c r="V28" s="243"/>
      <c r="W28" s="243"/>
      <c r="X28" s="243"/>
      <c r="Y28" s="243"/>
      <c r="Z28" s="243"/>
    </row>
    <row r="29" spans="1:26" ht="15" customHeight="1" x14ac:dyDescent="0.3">
      <c r="A29" s="68" t="s">
        <v>24</v>
      </c>
      <c r="B29" s="69" t="s">
        <v>88</v>
      </c>
      <c r="C29" s="19" t="s">
        <v>0</v>
      </c>
      <c r="D29" s="20" t="s">
        <v>1</v>
      </c>
      <c r="E29" s="20" t="s">
        <v>2</v>
      </c>
      <c r="F29" s="21" t="s">
        <v>3</v>
      </c>
      <c r="G29" s="19" t="s">
        <v>0</v>
      </c>
      <c r="H29" s="20" t="s">
        <v>1</v>
      </c>
      <c r="I29" s="20" t="s">
        <v>2</v>
      </c>
      <c r="J29" s="20" t="s">
        <v>3</v>
      </c>
      <c r="K29" s="20" t="s">
        <v>4</v>
      </c>
      <c r="L29" s="21" t="s">
        <v>309</v>
      </c>
      <c r="M29" s="243"/>
      <c r="P29" s="243"/>
      <c r="Q29" s="243"/>
      <c r="R29" s="243"/>
      <c r="S29" s="243"/>
      <c r="T29" s="243"/>
      <c r="U29" s="243"/>
      <c r="V29" s="243"/>
      <c r="W29" s="243"/>
      <c r="X29" s="243"/>
      <c r="Y29" s="243"/>
      <c r="Z29" s="243"/>
    </row>
    <row r="30" spans="1:26" x14ac:dyDescent="0.3">
      <c r="A30" s="33" t="s">
        <v>271</v>
      </c>
      <c r="B30" s="34" t="s">
        <v>31</v>
      </c>
      <c r="C30" s="87" t="s">
        <v>78</v>
      </c>
      <c r="D30" s="87" t="s">
        <v>53</v>
      </c>
      <c r="E30" s="87" t="s">
        <v>54</v>
      </c>
      <c r="F30" s="87" t="s">
        <v>92</v>
      </c>
      <c r="G30" s="78" t="s">
        <v>78</v>
      </c>
      <c r="H30" s="78" t="s">
        <v>53</v>
      </c>
      <c r="I30" s="78" t="s">
        <v>54</v>
      </c>
      <c r="J30" s="78" t="s">
        <v>92</v>
      </c>
      <c r="K30" s="78" t="s">
        <v>93</v>
      </c>
      <c r="L30" s="79" t="s">
        <v>310</v>
      </c>
      <c r="M30" s="86" t="s">
        <v>100</v>
      </c>
      <c r="N30" s="1" t="s">
        <v>138</v>
      </c>
      <c r="O30" s="1" t="s">
        <v>139</v>
      </c>
      <c r="P30" s="77" t="s">
        <v>272</v>
      </c>
      <c r="Q30" s="77"/>
      <c r="R30" s="77"/>
      <c r="S30" s="77"/>
      <c r="T30" s="77"/>
      <c r="U30" s="77"/>
      <c r="V30" s="77"/>
      <c r="W30" s="77"/>
      <c r="X30" s="77"/>
      <c r="Y30" s="77"/>
      <c r="Z30" s="77"/>
    </row>
    <row r="31" spans="1:26" x14ac:dyDescent="0.3">
      <c r="A31" s="11"/>
      <c r="B31" s="184" t="s">
        <v>27</v>
      </c>
      <c r="C31" s="14">
        <f>0.00006*EXP(0.0553*15)/0.005</f>
        <v>2.7506068410133463E-2</v>
      </c>
      <c r="D31" s="14">
        <f>0.00006*EXP(0.0553*25)/0.005</f>
        <v>4.7818215761866206E-2</v>
      </c>
      <c r="E31" s="14">
        <f>0.00006*EXP(0.0553*35)/0.005</f>
        <v>8.3130083316668893E-2</v>
      </c>
      <c r="F31" s="14">
        <f>0.00006*EXP(0.0553*45)/0.005</f>
        <v>0.14451837322101319</v>
      </c>
      <c r="G31" s="14">
        <f>0.00006*EXP(0.0553*15)/0.005</f>
        <v>2.7506068410133463E-2</v>
      </c>
      <c r="H31" s="14">
        <f>0.00006*EXP(0.0553*25)/0.005</f>
        <v>4.7818215761866206E-2</v>
      </c>
      <c r="I31" s="14">
        <f>0.00006*EXP(0.0553*35)/0.005</f>
        <v>8.3130083316668893E-2</v>
      </c>
      <c r="J31" s="14">
        <f>0.00006*EXP(0.0553*45)/0.005</f>
        <v>0.14451837322101319</v>
      </c>
      <c r="K31" s="17">
        <f>0.00006*EXP(0.0553*55)/0.005</f>
        <v>0.25123949556129177</v>
      </c>
      <c r="L31" s="73"/>
      <c r="M31" t="s">
        <v>94</v>
      </c>
      <c r="P31" s="272" t="s">
        <v>248</v>
      </c>
      <c r="Q31" s="14"/>
      <c r="R31" s="14"/>
      <c r="S31" s="75"/>
      <c r="T31" s="75"/>
      <c r="U31" s="75"/>
      <c r="V31" s="14"/>
      <c r="W31" s="14"/>
      <c r="X31" s="14"/>
      <c r="Y31" s="14"/>
    </row>
    <row r="32" spans="1:26" x14ac:dyDescent="0.3">
      <c r="A32" s="11"/>
      <c r="B32" s="184" t="s">
        <v>22</v>
      </c>
      <c r="C32" s="14">
        <f>0.000003*(15^1.3379)/0.005</f>
        <v>2.2472104505980441E-2</v>
      </c>
      <c r="D32" s="14">
        <f>0.000003*(25^1.3379)/0.005</f>
        <v>4.4509753384011044E-2</v>
      </c>
      <c r="E32" s="14">
        <f>0.000003*(35^1.3379)/0.005</f>
        <v>6.9816791567102826E-2</v>
      </c>
      <c r="F32" s="14">
        <f>0.000003*(45^1.3379)/0.005</f>
        <v>9.7720183216199116E-2</v>
      </c>
      <c r="G32" s="14">
        <f>0.000003*(15^1.3379)/0.005</f>
        <v>2.2472104505980441E-2</v>
      </c>
      <c r="H32" s="14">
        <f>0.000003*(25^1.3379)/0.005</f>
        <v>4.4509753384011044E-2</v>
      </c>
      <c r="I32" s="14">
        <f>0.000003*(35^1.3379)/0.005</f>
        <v>6.9816791567102826E-2</v>
      </c>
      <c r="J32" s="14">
        <f>0.000003*(45^1.3379)/0.005</f>
        <v>9.7720183216199116E-2</v>
      </c>
      <c r="K32" s="73"/>
      <c r="L32" s="71"/>
      <c r="M32" t="s">
        <v>95</v>
      </c>
      <c r="P32" s="272" t="s">
        <v>248</v>
      </c>
      <c r="Q32" s="14"/>
      <c r="R32" s="14"/>
      <c r="S32" s="75"/>
      <c r="T32" s="14"/>
      <c r="U32" s="75"/>
      <c r="V32" s="14"/>
      <c r="W32" s="14"/>
      <c r="X32" s="14"/>
      <c r="Y32" s="14"/>
    </row>
    <row r="33" spans="1:26" x14ac:dyDescent="0.3">
      <c r="A33" s="11"/>
      <c r="B33" s="184" t="s">
        <v>17</v>
      </c>
      <c r="C33" s="14">
        <f>$N33*C$24^$O33</f>
        <v>1.7698296472748447E-2</v>
      </c>
      <c r="D33" s="14">
        <f t="shared" ref="D33:J33" si="2">$N33*D$24^$O33</f>
        <v>4.1226824642679592E-2</v>
      </c>
      <c r="E33" s="14">
        <f t="shared" si="2"/>
        <v>7.1958190910428182E-2</v>
      </c>
      <c r="F33" s="14">
        <f t="shared" si="2"/>
        <v>0.1090832304688661</v>
      </c>
      <c r="G33" s="14">
        <f t="shared" si="2"/>
        <v>1.7698296472748447E-2</v>
      </c>
      <c r="H33" s="14">
        <f t="shared" si="2"/>
        <v>4.1226824642679592E-2</v>
      </c>
      <c r="I33" s="14">
        <f t="shared" si="2"/>
        <v>7.1958190910428182E-2</v>
      </c>
      <c r="J33" s="14">
        <f t="shared" si="2"/>
        <v>0.1090832304688661</v>
      </c>
      <c r="K33" s="14">
        <f>$N33*K$24^$O33</f>
        <v>0.15206399354331132</v>
      </c>
      <c r="L33" s="14">
        <f>$N33*L$24^$O33</f>
        <v>0.20050571982619028</v>
      </c>
      <c r="M33" t="s">
        <v>254</v>
      </c>
      <c r="N33">
        <v>2.0000000000000001E-4</v>
      </c>
      <c r="O33">
        <v>1.6554</v>
      </c>
      <c r="Q33" s="14"/>
      <c r="R33" s="14"/>
      <c r="S33" s="14"/>
      <c r="T33" s="14"/>
      <c r="U33" s="75"/>
      <c r="V33" s="75"/>
      <c r="W33" s="75"/>
      <c r="X33" s="75"/>
      <c r="Y33" s="14"/>
    </row>
    <row r="34" spans="1:26" x14ac:dyDescent="0.3">
      <c r="A34" s="11"/>
      <c r="B34" s="2"/>
      <c r="C34" s="14"/>
      <c r="D34" s="14"/>
      <c r="E34" s="14"/>
      <c r="F34" s="14"/>
      <c r="G34" s="75"/>
      <c r="H34" s="75"/>
      <c r="I34" s="75"/>
      <c r="J34" s="75"/>
      <c r="K34" s="17"/>
      <c r="L34" s="14"/>
    </row>
    <row r="35" spans="1:26" ht="15" customHeight="1" x14ac:dyDescent="0.3">
      <c r="A35" s="39" t="s">
        <v>21</v>
      </c>
      <c r="B35" s="23" t="s">
        <v>33</v>
      </c>
      <c r="C35" s="78" t="s">
        <v>78</v>
      </c>
      <c r="D35" s="78" t="s">
        <v>53</v>
      </c>
      <c r="E35" s="78" t="s">
        <v>54</v>
      </c>
      <c r="F35" s="78"/>
      <c r="G35" s="78" t="s">
        <v>78</v>
      </c>
      <c r="H35" s="78" t="s">
        <v>53</v>
      </c>
      <c r="I35" s="78" t="s">
        <v>54</v>
      </c>
      <c r="J35" s="78"/>
      <c r="K35" s="79"/>
      <c r="L35" s="78"/>
      <c r="M35" s="135" t="s">
        <v>97</v>
      </c>
      <c r="N35" s="4"/>
      <c r="O35" s="4"/>
      <c r="P35" s="4"/>
      <c r="Q35" s="4"/>
      <c r="R35" s="4"/>
      <c r="S35" s="4"/>
      <c r="T35" s="4"/>
      <c r="U35" s="4"/>
      <c r="V35" s="4"/>
      <c r="W35" s="4"/>
      <c r="X35" s="76"/>
      <c r="Y35" s="76"/>
      <c r="Z35" s="76"/>
    </row>
    <row r="36" spans="1:26" ht="15" customHeight="1" x14ac:dyDescent="0.3">
      <c r="A36" s="11"/>
      <c r="B36" s="2" t="s">
        <v>22</v>
      </c>
      <c r="C36" s="14">
        <v>1.1255862906083193E-2</v>
      </c>
      <c r="D36" s="14">
        <v>7.1962138469184478E-2</v>
      </c>
      <c r="E36" s="14">
        <v>0.24649648062089938</v>
      </c>
      <c r="F36" s="71"/>
      <c r="G36" s="14">
        <v>1.1255862906083193E-2</v>
      </c>
      <c r="H36" s="14">
        <v>7.1962138469184478E-2</v>
      </c>
      <c r="I36" s="14">
        <v>0.24649648062089938</v>
      </c>
      <c r="J36" s="71"/>
      <c r="K36" s="73"/>
      <c r="L36" s="71"/>
      <c r="M36" s="274" t="s">
        <v>246</v>
      </c>
      <c r="N36" s="4"/>
      <c r="O36" s="4"/>
      <c r="P36" s="4"/>
      <c r="Q36" s="4"/>
      <c r="R36" s="4"/>
      <c r="S36" s="4"/>
      <c r="T36" s="4"/>
      <c r="U36" s="4"/>
      <c r="V36" s="4"/>
      <c r="W36" s="4"/>
      <c r="X36" s="76"/>
      <c r="Y36" s="76"/>
      <c r="Z36" s="76"/>
    </row>
    <row r="37" spans="1:26" x14ac:dyDescent="0.3">
      <c r="A37" s="38"/>
      <c r="B37" s="2"/>
      <c r="C37" s="14"/>
      <c r="D37" s="14"/>
      <c r="E37" s="14"/>
      <c r="F37" s="4"/>
      <c r="G37" s="4"/>
      <c r="H37" s="4"/>
      <c r="I37" s="4"/>
      <c r="J37" s="4"/>
      <c r="K37" s="12"/>
      <c r="L37" s="4"/>
      <c r="M37" s="76"/>
      <c r="N37" s="76"/>
      <c r="O37" s="76"/>
      <c r="P37" s="76"/>
      <c r="Q37" s="76"/>
      <c r="R37" s="76"/>
      <c r="S37" s="76"/>
      <c r="T37" s="76"/>
      <c r="U37" s="76"/>
      <c r="V37" s="76"/>
      <c r="W37" s="76"/>
      <c r="X37" s="76"/>
      <c r="Y37" s="76"/>
      <c r="Z37" s="76"/>
    </row>
    <row r="38" spans="1:26" x14ac:dyDescent="0.3">
      <c r="A38" s="39" t="s">
        <v>145</v>
      </c>
      <c r="B38" s="23" t="s">
        <v>35</v>
      </c>
      <c r="C38" s="78" t="s">
        <v>78</v>
      </c>
      <c r="D38" s="78" t="s">
        <v>53</v>
      </c>
      <c r="E38" s="78" t="s">
        <v>54</v>
      </c>
      <c r="F38" s="78"/>
      <c r="G38" s="78" t="s">
        <v>78</v>
      </c>
      <c r="H38" s="78" t="s">
        <v>53</v>
      </c>
      <c r="I38" s="78" t="s">
        <v>54</v>
      </c>
      <c r="J38" s="78"/>
      <c r="K38" s="79"/>
      <c r="L38" s="78"/>
      <c r="M38" t="s">
        <v>274</v>
      </c>
    </row>
    <row r="39" spans="1:26" x14ac:dyDescent="0.3">
      <c r="A39" s="11"/>
      <c r="B39" s="2" t="s">
        <v>73</v>
      </c>
      <c r="C39" s="74">
        <f>0.000002*(15^2.175)/0.005</f>
        <v>0.14456344190459003</v>
      </c>
      <c r="D39" s="74">
        <f>0.000002*(25^2.175)/0.005</f>
        <v>0.43911625123650649</v>
      </c>
      <c r="E39" s="74">
        <f>0.000002*(35^2.175)/0.005</f>
        <v>0.91286800916159339</v>
      </c>
      <c r="F39" s="181"/>
      <c r="G39" s="74">
        <f>0.000002*(15^2.175)/0.005</f>
        <v>0.14456344190459003</v>
      </c>
      <c r="H39" s="74">
        <f>0.000002*(25^2.175)/0.005</f>
        <v>0.43911625123650649</v>
      </c>
      <c r="I39" s="74">
        <f>0.000002*(35^2.175)/0.005</f>
        <v>0.91286800916159339</v>
      </c>
      <c r="J39" s="181"/>
      <c r="K39" s="182"/>
      <c r="L39" s="181"/>
      <c r="M39" t="s">
        <v>150</v>
      </c>
      <c r="N39" s="32"/>
    </row>
    <row r="40" spans="1:26" x14ac:dyDescent="0.3">
      <c r="A40" s="11"/>
      <c r="B40" s="2"/>
      <c r="C40" s="14"/>
      <c r="D40" s="14"/>
      <c r="E40" s="14"/>
      <c r="F40" s="14"/>
      <c r="G40" s="14"/>
      <c r="H40" s="14"/>
      <c r="I40" s="14"/>
      <c r="J40" s="14"/>
      <c r="K40" s="17"/>
      <c r="L40" s="14"/>
    </row>
    <row r="41" spans="1:26" ht="15" customHeight="1" x14ac:dyDescent="0.3">
      <c r="A41" s="39" t="s">
        <v>223</v>
      </c>
      <c r="B41" s="23" t="s">
        <v>35</v>
      </c>
      <c r="C41" s="1"/>
      <c r="D41" s="23"/>
      <c r="E41" s="1" t="s">
        <v>222</v>
      </c>
      <c r="F41" s="1"/>
      <c r="G41" s="1"/>
      <c r="H41" s="23"/>
      <c r="I41" s="1" t="s">
        <v>222</v>
      </c>
      <c r="J41" s="1"/>
      <c r="K41" s="43"/>
      <c r="L41" s="23"/>
      <c r="M41" s="232"/>
      <c r="N41" s="232"/>
      <c r="O41" s="232"/>
      <c r="P41" s="232"/>
      <c r="Q41" s="232"/>
      <c r="R41" s="232"/>
      <c r="S41" s="232"/>
      <c r="T41" s="232"/>
      <c r="U41" s="232"/>
      <c r="V41" s="232"/>
      <c r="W41" s="232"/>
      <c r="X41" s="232"/>
      <c r="Y41" s="232"/>
      <c r="Z41" s="66"/>
    </row>
    <row r="42" spans="1:26" ht="15" customHeight="1" x14ac:dyDescent="0.3">
      <c r="A42" s="38"/>
      <c r="B42" s="2" t="s">
        <v>73</v>
      </c>
      <c r="C42" s="14"/>
      <c r="D42" s="14"/>
      <c r="E42" s="74">
        <f>0.1415/0.375</f>
        <v>0.3773333333333333</v>
      </c>
      <c r="F42" s="74"/>
      <c r="G42" s="74"/>
      <c r="H42" s="74"/>
      <c r="I42" s="74">
        <f>0.1415/0.375</f>
        <v>0.3773333333333333</v>
      </c>
      <c r="J42" s="14"/>
      <c r="K42" s="17"/>
      <c r="L42" s="14"/>
      <c r="M42" s="86" t="s">
        <v>251</v>
      </c>
      <c r="N42" s="66"/>
      <c r="O42" s="66"/>
      <c r="P42" s="66"/>
      <c r="Q42" s="66"/>
      <c r="R42" s="66"/>
      <c r="S42" s="66"/>
      <c r="T42" s="66"/>
      <c r="U42" s="66"/>
      <c r="V42" s="66"/>
      <c r="W42" s="66"/>
      <c r="X42" s="66"/>
      <c r="Y42" s="66"/>
      <c r="Z42" s="66"/>
    </row>
    <row r="43" spans="1:26" x14ac:dyDescent="0.3">
      <c r="A43" s="11"/>
      <c r="B43" s="2"/>
      <c r="C43" s="223"/>
      <c r="D43" s="223"/>
      <c r="E43" s="223"/>
      <c r="F43" s="223"/>
      <c r="G43" s="223"/>
      <c r="H43" s="223"/>
      <c r="I43" s="223"/>
      <c r="J43" s="223"/>
      <c r="K43" s="224"/>
      <c r="L43" s="223"/>
    </row>
    <row r="44" spans="1:26" ht="14.55" customHeight="1" x14ac:dyDescent="0.3">
      <c r="A44" s="39" t="s">
        <v>242</v>
      </c>
      <c r="B44" s="23" t="s">
        <v>183</v>
      </c>
      <c r="C44" s="214" t="s">
        <v>0</v>
      </c>
      <c r="D44" s="214" t="s">
        <v>1</v>
      </c>
      <c r="E44" s="214" t="s">
        <v>2</v>
      </c>
      <c r="F44" s="214" t="s">
        <v>3</v>
      </c>
      <c r="G44" s="214" t="s">
        <v>0</v>
      </c>
      <c r="H44" s="214" t="s">
        <v>1</v>
      </c>
      <c r="I44" s="214" t="s">
        <v>2</v>
      </c>
      <c r="J44" s="214" t="s">
        <v>3</v>
      </c>
      <c r="K44" s="215" t="s">
        <v>4</v>
      </c>
      <c r="L44" s="214"/>
      <c r="M44" s="11" t="s">
        <v>273</v>
      </c>
      <c r="N44" s="66"/>
      <c r="O44" s="66"/>
      <c r="P44" s="66"/>
      <c r="Q44" s="66"/>
      <c r="R44" s="66"/>
      <c r="S44" s="66"/>
      <c r="T44" s="66"/>
      <c r="U44" s="66"/>
      <c r="V44" s="66"/>
    </row>
    <row r="45" spans="1:26" x14ac:dyDescent="0.3">
      <c r="A45" s="38"/>
      <c r="B45" s="184" t="s">
        <v>22</v>
      </c>
      <c r="C45" s="14">
        <f>0.00002*(15^1.5749)/0.01</f>
        <v>0.14231678345039225</v>
      </c>
      <c r="D45" s="14">
        <f>0.00002*(25^1.5749)/0.01</f>
        <v>0.31816010061666494</v>
      </c>
      <c r="E45" s="14">
        <f>0.00002*(35^1.5749)/0.01</f>
        <v>0.5404838963236559</v>
      </c>
      <c r="F45" s="14">
        <f>0.00002*(45^1.5749)/0.01</f>
        <v>0.8029238966737523</v>
      </c>
      <c r="G45" s="14">
        <f>0.00002*(15^1.5749)/0.01</f>
        <v>0.14231678345039225</v>
      </c>
      <c r="H45" s="14">
        <f>0.00002*(25^1.5749)/0.01</f>
        <v>0.31816010061666494</v>
      </c>
      <c r="I45" s="14">
        <f>0.00002*(35^1.5749)/0.01</f>
        <v>0.5404838963236559</v>
      </c>
      <c r="J45" s="14">
        <f>0.00002*(45^1.5749)/0.01</f>
        <v>0.8029238966737523</v>
      </c>
      <c r="K45" s="73"/>
      <c r="L45" s="71"/>
      <c r="M45" s="234" t="s">
        <v>216</v>
      </c>
      <c r="N45" s="255"/>
      <c r="O45" s="14"/>
      <c r="P45" s="14"/>
      <c r="Q45" s="14"/>
      <c r="R45" s="14"/>
      <c r="S45" s="14"/>
      <c r="T45" s="75"/>
      <c r="U45" s="14"/>
      <c r="V45" s="14"/>
    </row>
    <row r="46" spans="1:26" x14ac:dyDescent="0.3">
      <c r="A46" s="11"/>
      <c r="B46" s="184" t="s">
        <v>185</v>
      </c>
      <c r="C46" s="226" t="s">
        <v>178</v>
      </c>
      <c r="D46" s="226">
        <f>0.00434233333333333/0.01</f>
        <v>0.43423333333333297</v>
      </c>
      <c r="E46" s="226">
        <f>0.006079/0.01</f>
        <v>0.6079</v>
      </c>
      <c r="F46" s="226" t="s">
        <v>178</v>
      </c>
      <c r="G46" s="226" t="s">
        <v>178</v>
      </c>
      <c r="H46" s="226">
        <f>0.00434233333333333/0.01</f>
        <v>0.43423333333333297</v>
      </c>
      <c r="I46" s="226">
        <f>0.006079/0.01</f>
        <v>0.6079</v>
      </c>
      <c r="J46" s="226" t="s">
        <v>178</v>
      </c>
      <c r="K46" s="224"/>
      <c r="L46" s="223"/>
      <c r="M46" s="235"/>
    </row>
    <row r="47" spans="1:26" x14ac:dyDescent="0.3">
      <c r="A47" s="11"/>
      <c r="B47" s="2" t="s">
        <v>186</v>
      </c>
      <c r="C47" s="226">
        <f>0.00188/0.01</f>
        <v>0.188</v>
      </c>
      <c r="D47" s="226">
        <f>0.00171/0.01</f>
        <v>0.17099999999999999</v>
      </c>
      <c r="E47" s="229"/>
      <c r="F47" s="226" t="s">
        <v>178</v>
      </c>
      <c r="G47" s="226">
        <f>0.00188/0.01</f>
        <v>0.188</v>
      </c>
      <c r="H47" s="226">
        <f>0.00171/0.01</f>
        <v>0.17099999999999999</v>
      </c>
      <c r="I47" s="229"/>
      <c r="J47" s="226" t="s">
        <v>178</v>
      </c>
      <c r="K47" s="224"/>
      <c r="L47" s="223"/>
      <c r="M47" s="235"/>
    </row>
    <row r="48" spans="1:26" x14ac:dyDescent="0.3">
      <c r="A48" s="11"/>
      <c r="B48" s="2" t="s">
        <v>71</v>
      </c>
      <c r="C48" s="226" t="s">
        <v>178</v>
      </c>
      <c r="D48" s="226">
        <f>0.002175/0.01</f>
        <v>0.21749999999999997</v>
      </c>
      <c r="E48" s="229">
        <f>0.002175/0.01</f>
        <v>0.21749999999999997</v>
      </c>
      <c r="F48" s="229">
        <f>0.002175/0.01</f>
        <v>0.21749999999999997</v>
      </c>
      <c r="G48" s="226" t="s">
        <v>178</v>
      </c>
      <c r="H48" s="226">
        <f>0.002175/0.01</f>
        <v>0.21749999999999997</v>
      </c>
      <c r="I48" s="229">
        <f>0.002175/0.01</f>
        <v>0.21749999999999997</v>
      </c>
      <c r="J48" s="229">
        <f>0.002175/0.01</f>
        <v>0.21749999999999997</v>
      </c>
      <c r="K48" s="224"/>
      <c r="L48" s="223"/>
      <c r="M48" s="235"/>
    </row>
    <row r="49" spans="1:22" x14ac:dyDescent="0.3">
      <c r="A49" s="11"/>
      <c r="B49" s="2" t="s">
        <v>187</v>
      </c>
      <c r="C49" s="226" t="s">
        <v>178</v>
      </c>
      <c r="D49" s="226">
        <f>0.0035145/0.01</f>
        <v>0.35144999999999998</v>
      </c>
      <c r="E49" s="226">
        <f>0.00561/0.01</f>
        <v>0.56100000000000005</v>
      </c>
      <c r="F49" s="229">
        <f>E49</f>
        <v>0.56100000000000005</v>
      </c>
      <c r="G49" s="226" t="s">
        <v>178</v>
      </c>
      <c r="H49" s="226">
        <f>0.0035145/0.01</f>
        <v>0.35144999999999998</v>
      </c>
      <c r="I49" s="226">
        <f>0.00561/0.01</f>
        <v>0.56100000000000005</v>
      </c>
      <c r="J49" s="229">
        <f>I49</f>
        <v>0.56100000000000005</v>
      </c>
      <c r="K49" s="224"/>
      <c r="L49" s="223"/>
      <c r="M49" s="235"/>
    </row>
    <row r="50" spans="1:22" x14ac:dyDescent="0.3">
      <c r="A50" s="11"/>
      <c r="B50" s="2" t="s">
        <v>27</v>
      </c>
      <c r="C50" s="226">
        <f>0.00002*15^1.6147/0.01</f>
        <v>0.15851287816668114</v>
      </c>
      <c r="D50" s="226">
        <f>0.00002*25^1.6147/0.01</f>
        <v>0.36164605141088912</v>
      </c>
      <c r="E50" s="226">
        <f>0.00002*35^1.6147/0.01</f>
        <v>0.62263949740256042</v>
      </c>
      <c r="F50" s="226">
        <f>0.00002*45^1.6147/0.01</f>
        <v>0.93426965161962516</v>
      </c>
      <c r="G50" s="226">
        <f>0.00002*15^1.6147/0.01</f>
        <v>0.15851287816668114</v>
      </c>
      <c r="H50" s="226">
        <f>0.00002*25^1.6147/0.01</f>
        <v>0.36164605141088912</v>
      </c>
      <c r="I50" s="226">
        <f>0.00002*35^1.6147/0.01</f>
        <v>0.62263949740256042</v>
      </c>
      <c r="J50" s="226">
        <f>0.00002*45^1.6147/0.01</f>
        <v>0.93426965161962516</v>
      </c>
      <c r="K50" s="224">
        <f>0.00002*55^1.6147/0.01</f>
        <v>1.2917950926632158</v>
      </c>
      <c r="L50" s="299"/>
      <c r="M50" s="234" t="s">
        <v>217</v>
      </c>
      <c r="N50" s="226"/>
      <c r="O50" s="226"/>
      <c r="P50" s="226"/>
      <c r="Q50" s="226"/>
      <c r="R50" s="226"/>
      <c r="S50" s="226"/>
      <c r="T50" s="226"/>
      <c r="U50" s="226"/>
      <c r="V50" s="223"/>
    </row>
    <row r="51" spans="1:22" x14ac:dyDescent="0.3">
      <c r="A51" s="11"/>
      <c r="B51" s="2" t="s">
        <v>29</v>
      </c>
      <c r="C51" s="226" t="s">
        <v>178</v>
      </c>
      <c r="D51" s="226">
        <f>0.004842/0.01</f>
        <v>0.48419999999999996</v>
      </c>
      <c r="E51" s="226" t="s">
        <v>178</v>
      </c>
      <c r="F51" s="226" t="s">
        <v>178</v>
      </c>
      <c r="G51" s="226" t="s">
        <v>178</v>
      </c>
      <c r="H51" s="226">
        <f>0.004842/0.01</f>
        <v>0.48419999999999996</v>
      </c>
      <c r="I51" s="226" t="s">
        <v>178</v>
      </c>
      <c r="J51" s="226" t="s">
        <v>178</v>
      </c>
      <c r="K51" s="224"/>
      <c r="L51" s="223"/>
      <c r="M51" s="235"/>
    </row>
    <row r="52" spans="1:22" x14ac:dyDescent="0.3">
      <c r="A52" s="11"/>
      <c r="B52" s="2" t="s">
        <v>30</v>
      </c>
      <c r="C52" s="226">
        <f>0.00311333333333333/0.01</f>
        <v>0.31133333333333296</v>
      </c>
      <c r="D52" s="238">
        <f>0.00311333333333333/0.01</f>
        <v>0.31133333333333296</v>
      </c>
      <c r="E52" s="226" t="s">
        <v>178</v>
      </c>
      <c r="F52" s="226" t="s">
        <v>178</v>
      </c>
      <c r="G52" s="226">
        <f>0.00311333333333333/0.01</f>
        <v>0.31133333333333296</v>
      </c>
      <c r="H52" s="238">
        <f>0.00311333333333333/0.01</f>
        <v>0.31133333333333296</v>
      </c>
      <c r="I52" s="226" t="s">
        <v>178</v>
      </c>
      <c r="J52" s="226" t="s">
        <v>178</v>
      </c>
      <c r="K52" s="224"/>
      <c r="L52" s="223"/>
      <c r="M52" s="235"/>
    </row>
    <row r="53" spans="1:22" x14ac:dyDescent="0.3">
      <c r="A53" s="11"/>
      <c r="B53" s="2" t="s">
        <v>72</v>
      </c>
      <c r="C53" s="226">
        <f>0.0005*EXP(0.0793*15)/0.01</f>
        <v>0.16427190387980525</v>
      </c>
      <c r="D53" s="226">
        <f>0.0005*EXP(0.0793*25)/0.01</f>
        <v>0.36304362475344237</v>
      </c>
      <c r="E53" s="226">
        <f>0.0005*EXP(0.0793*35)/0.01</f>
        <v>0.80233241571580227</v>
      </c>
      <c r="F53" s="236"/>
      <c r="G53" s="226">
        <f>0.0005*EXP(0.0793*15)/0.01</f>
        <v>0.16427190387980525</v>
      </c>
      <c r="H53" s="226">
        <f>0.0005*EXP(0.0793*25)/0.01</f>
        <v>0.36304362475344237</v>
      </c>
      <c r="I53" s="226">
        <f>0.0005*EXP(0.0793*35)/0.01</f>
        <v>0.80233241571580227</v>
      </c>
      <c r="J53" s="236"/>
      <c r="K53" s="237"/>
      <c r="L53" s="299"/>
      <c r="M53" s="234" t="s">
        <v>218</v>
      </c>
      <c r="N53" s="226"/>
      <c r="O53" s="226"/>
      <c r="P53" s="226"/>
      <c r="Q53" s="226"/>
      <c r="R53" s="226"/>
      <c r="S53" s="226"/>
      <c r="T53" s="226"/>
      <c r="U53" s="226"/>
      <c r="V53" s="223"/>
    </row>
    <row r="54" spans="1:22" x14ac:dyDescent="0.3">
      <c r="A54" s="11"/>
      <c r="B54" s="2" t="s">
        <v>73</v>
      </c>
      <c r="C54" s="226">
        <f>0.002928/0.01</f>
        <v>0.2928</v>
      </c>
      <c r="D54" s="226" t="s">
        <v>178</v>
      </c>
      <c r="E54" s="226" t="s">
        <v>178</v>
      </c>
      <c r="F54" s="236" t="s">
        <v>178</v>
      </c>
      <c r="G54" s="226">
        <f>0.002928/0.01</f>
        <v>0.2928</v>
      </c>
      <c r="H54" s="226" t="s">
        <v>178</v>
      </c>
      <c r="I54" s="226" t="s">
        <v>178</v>
      </c>
      <c r="J54" s="236" t="s">
        <v>178</v>
      </c>
      <c r="K54" s="237"/>
      <c r="L54" s="299"/>
      <c r="M54" s="235"/>
    </row>
    <row r="55" spans="1:22" x14ac:dyDescent="0.3">
      <c r="A55" s="11"/>
      <c r="B55" s="2" t="s">
        <v>17</v>
      </c>
      <c r="C55" s="226">
        <f>0.00003*15^1.6843/0.01</f>
        <v>0.28708583347396532</v>
      </c>
      <c r="D55" s="226">
        <f>0.00003*25^1.6843/0.01</f>
        <v>0.67869025175524589</v>
      </c>
      <c r="E55" s="226">
        <f>0.00003*35^1.6843/0.01</f>
        <v>1.196175937511855</v>
      </c>
      <c r="F55" s="226">
        <f>0.00003*45^1.6843/0.01</f>
        <v>1.826531185841243</v>
      </c>
      <c r="G55" s="226">
        <f>0.00003*15^1.6843/0.01</f>
        <v>0.28708583347396532</v>
      </c>
      <c r="H55" s="226">
        <f>0.00003*25^1.6843/0.01</f>
        <v>0.67869025175524589</v>
      </c>
      <c r="I55" s="226">
        <f>0.00003*35^1.6843/0.01</f>
        <v>1.196175937511855</v>
      </c>
      <c r="J55" s="226">
        <f>0.00003*45^1.6843/0.01</f>
        <v>1.826531185841243</v>
      </c>
      <c r="K55" s="230">
        <f>0.00003*55^1.6843/0.01</f>
        <v>2.5610268556975915</v>
      </c>
      <c r="L55" s="230">
        <f>0.00003*65^1.6843/0.01</f>
        <v>3.3932137744510551</v>
      </c>
      <c r="M55" s="234" t="s">
        <v>219</v>
      </c>
      <c r="N55" s="226"/>
      <c r="O55" s="226"/>
      <c r="P55" s="226"/>
      <c r="Q55" s="226"/>
      <c r="R55" s="226"/>
      <c r="S55" s="226"/>
      <c r="T55" s="226"/>
      <c r="U55" s="226"/>
      <c r="V55" s="226"/>
    </row>
    <row r="56" spans="1:22" x14ac:dyDescent="0.3">
      <c r="A56" s="11"/>
      <c r="B56" s="2" t="s">
        <v>74</v>
      </c>
      <c r="C56" s="226">
        <f>0.0009/0.01</f>
        <v>0.09</v>
      </c>
      <c r="D56" s="226">
        <f>0.00195833333333333/0.01</f>
        <v>0.195833333333333</v>
      </c>
      <c r="E56" s="229"/>
      <c r="F56" s="236" t="s">
        <v>178</v>
      </c>
      <c r="G56" s="226">
        <f>0.0009/0.01</f>
        <v>0.09</v>
      </c>
      <c r="H56" s="226">
        <f>0.00195833333333333/0.01</f>
        <v>0.195833333333333</v>
      </c>
      <c r="I56" s="229"/>
      <c r="J56" s="236" t="s">
        <v>178</v>
      </c>
      <c r="K56" s="237"/>
      <c r="L56" s="299"/>
      <c r="M56" s="235"/>
    </row>
    <row r="57" spans="1:22" x14ac:dyDescent="0.3">
      <c r="A57" s="11"/>
      <c r="B57" s="2" t="s">
        <v>75</v>
      </c>
      <c r="C57" s="226">
        <f>0.00132/0.01</f>
        <v>0.13200000000000001</v>
      </c>
      <c r="D57" s="226">
        <f>0.001835/0.01</f>
        <v>0.1835</v>
      </c>
      <c r="E57" s="236" t="s">
        <v>178</v>
      </c>
      <c r="F57" s="236" t="s">
        <v>178</v>
      </c>
      <c r="G57" s="226">
        <f>0.00132/0.01</f>
        <v>0.13200000000000001</v>
      </c>
      <c r="H57" s="226">
        <f>0.001835/0.01</f>
        <v>0.1835</v>
      </c>
      <c r="I57" s="236" t="s">
        <v>178</v>
      </c>
      <c r="J57" s="236" t="s">
        <v>178</v>
      </c>
      <c r="K57" s="237"/>
      <c r="L57" s="299"/>
      <c r="M57" s="235"/>
    </row>
    <row r="58" spans="1:22" x14ac:dyDescent="0.3">
      <c r="B58" s="2"/>
      <c r="C58" s="226"/>
      <c r="D58" s="226"/>
      <c r="E58" s="226"/>
      <c r="F58" s="226"/>
      <c r="G58" s="226"/>
      <c r="H58" s="226"/>
      <c r="I58" s="226"/>
      <c r="J58" s="226"/>
      <c r="K58" s="224"/>
      <c r="L58" s="223"/>
      <c r="M58" s="235"/>
    </row>
    <row r="59" spans="1:22" x14ac:dyDescent="0.3">
      <c r="A59" s="63" t="s">
        <v>243</v>
      </c>
      <c r="B59" s="23" t="s">
        <v>302</v>
      </c>
      <c r="C59" s="1">
        <v>15</v>
      </c>
      <c r="D59" s="1">
        <v>25</v>
      </c>
      <c r="E59" s="1">
        <v>35</v>
      </c>
      <c r="F59" s="1">
        <v>45</v>
      </c>
      <c r="G59" s="1">
        <v>15</v>
      </c>
      <c r="H59" s="1">
        <v>25</v>
      </c>
      <c r="I59" s="1">
        <v>35</v>
      </c>
      <c r="J59" s="1">
        <v>45</v>
      </c>
      <c r="K59" s="40">
        <v>55</v>
      </c>
      <c r="L59" s="1">
        <v>65</v>
      </c>
      <c r="M59" s="30" t="s">
        <v>237</v>
      </c>
      <c r="N59" s="1" t="s">
        <v>138</v>
      </c>
      <c r="O59" s="1" t="s">
        <v>139</v>
      </c>
    </row>
    <row r="60" spans="1:22" x14ac:dyDescent="0.3">
      <c r="A60" s="239"/>
      <c r="B60" s="2" t="s">
        <v>17</v>
      </c>
      <c r="C60" s="265">
        <f>$N60*C$59^$O60/100</f>
        <v>4.73933800094112E-2</v>
      </c>
      <c r="D60" s="265">
        <f t="shared" ref="D60:L64" si="3">$N60*D$59^$O60/100</f>
        <v>0.15455237723142887</v>
      </c>
      <c r="E60" s="265">
        <f t="shared" si="3"/>
        <v>0.33667894999477727</v>
      </c>
      <c r="F60" s="265">
        <f t="shared" si="3"/>
        <v>0.6022492478996283</v>
      </c>
      <c r="G60" s="265">
        <f t="shared" si="3"/>
        <v>4.73933800094112E-2</v>
      </c>
      <c r="H60" s="265">
        <f t="shared" si="3"/>
        <v>0.15455237723142887</v>
      </c>
      <c r="I60" s="265">
        <f t="shared" si="3"/>
        <v>0.33667894999477727</v>
      </c>
      <c r="J60" s="265">
        <f t="shared" si="3"/>
        <v>0.6022492478996283</v>
      </c>
      <c r="K60" s="265">
        <f t="shared" si="3"/>
        <v>0.95816824340866391</v>
      </c>
      <c r="L60" s="265">
        <f t="shared" si="3"/>
        <v>1.4103406273630308</v>
      </c>
      <c r="M60" s="25" t="s">
        <v>239</v>
      </c>
      <c r="N60" s="266">
        <v>8.9999999999999993E-3</v>
      </c>
      <c r="O60">
        <v>2.3140000000000001</v>
      </c>
    </row>
    <row r="61" spans="1:22" x14ac:dyDescent="0.3">
      <c r="A61" s="239"/>
      <c r="B61" s="184" t="s">
        <v>22</v>
      </c>
      <c r="C61" s="265">
        <f>$N61*C$59^$O61/100</f>
        <v>3.7950499618973503E-2</v>
      </c>
      <c r="D61" s="265">
        <f t="shared" si="3"/>
        <v>0.13259437042691785</v>
      </c>
      <c r="E61" s="265">
        <f t="shared" si="3"/>
        <v>0.30226832885628718</v>
      </c>
      <c r="F61" s="265">
        <f t="shared" si="3"/>
        <v>0.55935490473823879</v>
      </c>
      <c r="G61" s="265">
        <f t="shared" si="3"/>
        <v>3.7950499618973503E-2</v>
      </c>
      <c r="H61" s="265">
        <f t="shared" si="3"/>
        <v>0.13259437042691785</v>
      </c>
      <c r="I61" s="265">
        <f t="shared" si="3"/>
        <v>0.30226832885628718</v>
      </c>
      <c r="J61" s="265">
        <f t="shared" si="3"/>
        <v>0.55935490473823879</v>
      </c>
      <c r="K61" s="304"/>
      <c r="L61" s="304"/>
      <c r="M61" s="25" t="s">
        <v>239</v>
      </c>
      <c r="N61" s="266">
        <v>5.0000000000000001E-3</v>
      </c>
      <c r="O61">
        <v>2.4489999999999998</v>
      </c>
    </row>
    <row r="62" spans="1:22" x14ac:dyDescent="0.3">
      <c r="B62" s="184" t="s">
        <v>114</v>
      </c>
      <c r="C62" s="265">
        <f t="shared" ref="C62:C64" si="4">$N62*C$59^$O62/100</f>
        <v>4.9505627030458695E-2</v>
      </c>
      <c r="D62" s="265">
        <f t="shared" si="3"/>
        <v>0.15672755002314939</v>
      </c>
      <c r="E62" s="265">
        <f t="shared" si="3"/>
        <v>0.3348190757449811</v>
      </c>
      <c r="F62" s="260"/>
      <c r="G62" s="265">
        <f t="shared" si="3"/>
        <v>4.9505627030458695E-2</v>
      </c>
      <c r="H62" s="265">
        <f t="shared" si="3"/>
        <v>0.15672755002314939</v>
      </c>
      <c r="I62" s="265">
        <f t="shared" si="3"/>
        <v>0.3348190757449811</v>
      </c>
      <c r="J62" s="260"/>
      <c r="K62" s="261"/>
      <c r="L62" s="300"/>
      <c r="M62" s="25" t="s">
        <v>239</v>
      </c>
      <c r="N62" s="266">
        <v>1.0999999999999999E-2</v>
      </c>
      <c r="O62">
        <v>2.2559999999999998</v>
      </c>
    </row>
    <row r="63" spans="1:22" x14ac:dyDescent="0.3">
      <c r="B63" s="184" t="s">
        <v>115</v>
      </c>
      <c r="C63" s="265">
        <f t="shared" si="4"/>
        <v>8.1750000000000003E-2</v>
      </c>
      <c r="D63" s="265">
        <f t="shared" si="3"/>
        <v>0.13625000000000001</v>
      </c>
      <c r="E63" s="265">
        <f t="shared" si="3"/>
        <v>0.19075000000000003</v>
      </c>
      <c r="F63" s="265">
        <f t="shared" si="3"/>
        <v>0.24525000000000002</v>
      </c>
      <c r="G63" s="265">
        <f t="shared" si="3"/>
        <v>8.1750000000000003E-2</v>
      </c>
      <c r="H63" s="265">
        <f t="shared" si="3"/>
        <v>0.13625000000000001</v>
      </c>
      <c r="I63" s="265">
        <f t="shared" si="3"/>
        <v>0.19075000000000003</v>
      </c>
      <c r="J63" s="265">
        <f t="shared" si="3"/>
        <v>0.24525000000000002</v>
      </c>
      <c r="K63" s="261"/>
      <c r="L63" s="300"/>
      <c r="M63" s="25" t="s">
        <v>239</v>
      </c>
      <c r="N63" s="266">
        <v>0.54500000000000004</v>
      </c>
      <c r="O63" s="266">
        <v>1</v>
      </c>
    </row>
    <row r="64" spans="1:22" x14ac:dyDescent="0.3">
      <c r="A64" s="225"/>
      <c r="B64" s="6" t="s">
        <v>28</v>
      </c>
      <c r="C64" s="275">
        <f t="shared" si="4"/>
        <v>3.1025316088940914E-2</v>
      </c>
      <c r="D64" s="275">
        <f t="shared" si="3"/>
        <v>0.10884252108118435</v>
      </c>
      <c r="E64" s="267"/>
      <c r="F64" s="267"/>
      <c r="G64" s="275">
        <f t="shared" si="3"/>
        <v>3.1025316088940914E-2</v>
      </c>
      <c r="H64" s="275">
        <f t="shared" si="3"/>
        <v>0.10884252108118435</v>
      </c>
      <c r="I64" s="262"/>
      <c r="J64" s="262"/>
      <c r="K64" s="263"/>
      <c r="L64" s="300"/>
      <c r="M64" s="25" t="s">
        <v>239</v>
      </c>
      <c r="N64" s="266">
        <v>4.0000000000000001E-3</v>
      </c>
      <c r="O64">
        <v>2.4569999999999999</v>
      </c>
    </row>
    <row r="65" spans="1:13" x14ac:dyDescent="0.3">
      <c r="B65" s="2"/>
      <c r="C65" s="4"/>
      <c r="D65" s="4"/>
      <c r="E65" s="4"/>
      <c r="F65" s="4"/>
      <c r="G65" s="4"/>
      <c r="H65" s="4"/>
      <c r="I65" s="4"/>
      <c r="J65" s="4"/>
      <c r="K65" s="4"/>
      <c r="L65" s="4"/>
      <c r="M65" s="4"/>
    </row>
    <row r="66" spans="1:13" x14ac:dyDescent="0.3">
      <c r="B66" s="2"/>
      <c r="C66" s="313" t="s">
        <v>11</v>
      </c>
      <c r="D66" s="314"/>
      <c r="E66" s="314"/>
      <c r="F66" s="315"/>
      <c r="G66" s="320" t="s">
        <v>12</v>
      </c>
      <c r="H66" s="321"/>
      <c r="I66" s="321"/>
      <c r="J66" s="321"/>
      <c r="K66" s="321"/>
      <c r="L66" s="322"/>
    </row>
    <row r="67" spans="1:13" x14ac:dyDescent="0.3">
      <c r="A67" s="62" t="s">
        <v>39</v>
      </c>
      <c r="C67" s="19" t="s">
        <v>0</v>
      </c>
      <c r="D67" s="20" t="s">
        <v>1</v>
      </c>
      <c r="E67" s="20" t="s">
        <v>2</v>
      </c>
      <c r="F67" s="21" t="s">
        <v>3</v>
      </c>
      <c r="G67" s="3" t="s">
        <v>0</v>
      </c>
      <c r="H67" s="3" t="s">
        <v>1</v>
      </c>
      <c r="I67" s="3" t="s">
        <v>2</v>
      </c>
      <c r="J67" s="3" t="s">
        <v>3</v>
      </c>
      <c r="K67" s="3" t="s">
        <v>4</v>
      </c>
      <c r="L67" s="21" t="s">
        <v>309</v>
      </c>
    </row>
    <row r="68" spans="1:13" x14ac:dyDescent="0.3">
      <c r="A68" s="53" t="s">
        <v>50</v>
      </c>
      <c r="B68" s="54" t="s">
        <v>203</v>
      </c>
      <c r="C68" s="15">
        <f t="shared" ref="C68:K68" si="5">C20</f>
        <v>0.14431863994699767</v>
      </c>
      <c r="D68" s="15">
        <f t="shared" si="5"/>
        <v>0.47306531450529649</v>
      </c>
      <c r="E68" s="15">
        <f t="shared" si="5"/>
        <v>1.0340398456028981</v>
      </c>
      <c r="F68" s="15">
        <f t="shared" si="5"/>
        <v>1.8543851275999079</v>
      </c>
      <c r="G68" s="15">
        <f t="shared" si="5"/>
        <v>0.14431863994699767</v>
      </c>
      <c r="H68" s="15">
        <f t="shared" si="5"/>
        <v>0.47306531450529649</v>
      </c>
      <c r="I68" s="15">
        <f t="shared" si="5"/>
        <v>1.0340398456028981</v>
      </c>
      <c r="J68" s="15">
        <f t="shared" si="5"/>
        <v>1.8543851275999079</v>
      </c>
      <c r="K68" s="15">
        <f t="shared" si="5"/>
        <v>2.9562806374809716</v>
      </c>
      <c r="L68" s="17">
        <f t="shared" ref="L68" si="6">L20</f>
        <v>4.3587369934757145</v>
      </c>
    </row>
    <row r="69" spans="1:13" x14ac:dyDescent="0.3">
      <c r="A69" s="55"/>
      <c r="B69" s="56" t="s">
        <v>84</v>
      </c>
      <c r="C69" s="14">
        <f>AVERAGE(C6,C10,C14,C21,C25)</f>
        <v>7.9898822280795367E-2</v>
      </c>
      <c r="D69" s="14">
        <f t="shared" ref="D69:K69" si="7">AVERAGE(D6,D10,D14,D21,D25)</f>
        <v>0.2637100510088381</v>
      </c>
      <c r="E69" s="14">
        <f t="shared" si="7"/>
        <v>0.84140392458921132</v>
      </c>
      <c r="F69" s="14">
        <f t="shared" si="7"/>
        <v>1.3750032929861102</v>
      </c>
      <c r="G69" s="14">
        <f t="shared" si="7"/>
        <v>7.9898822280795367E-2</v>
      </c>
      <c r="H69" s="14">
        <f t="shared" si="7"/>
        <v>0.2637100510088381</v>
      </c>
      <c r="I69" s="14">
        <f t="shared" si="7"/>
        <v>0.84140392458921132</v>
      </c>
      <c r="J69" s="14">
        <f t="shared" si="7"/>
        <v>1.3750032929861102</v>
      </c>
      <c r="K69" s="14">
        <f t="shared" si="7"/>
        <v>1.7697009249322193</v>
      </c>
      <c r="L69" s="17">
        <f t="shared" ref="L69" si="8">AVERAGE(L6,L10,L14,L21,L25)</f>
        <v>2.6546986595323658</v>
      </c>
    </row>
    <row r="70" spans="1:13" x14ac:dyDescent="0.3">
      <c r="A70" s="55"/>
      <c r="B70" s="56" t="s">
        <v>204</v>
      </c>
      <c r="C70" s="14">
        <f>AVERAGE(C5,C9,C13,C22,C26)</f>
        <v>0.14435323019993032</v>
      </c>
      <c r="D70" s="14">
        <f t="shared" ref="D70:E70" si="9">AVERAGE(D5,D9,D13,D22,D26)</f>
        <v>0.28624821693863245</v>
      </c>
      <c r="E70" s="14">
        <f t="shared" si="9"/>
        <v>0.64099650686689713</v>
      </c>
      <c r="F70" s="71"/>
      <c r="G70" s="14">
        <f>AVERAGE(G5,G9,G13,G22,G26)</f>
        <v>0.14435323019993032</v>
      </c>
      <c r="H70" s="14">
        <f t="shared" ref="H70:I70" si="10">AVERAGE(H5,H9,H13,H22,H26)</f>
        <v>0.28624821693863245</v>
      </c>
      <c r="I70" s="14">
        <f t="shared" si="10"/>
        <v>0.64099650686689713</v>
      </c>
      <c r="J70" s="14">
        <f>AVERAGE(J5,J9,J13,J22,J26)</f>
        <v>1.4264569279463455</v>
      </c>
      <c r="K70" s="71"/>
      <c r="L70" s="73"/>
    </row>
    <row r="71" spans="1:13" x14ac:dyDescent="0.3">
      <c r="A71" s="55"/>
      <c r="B71" s="56" t="s">
        <v>205</v>
      </c>
      <c r="C71" s="14">
        <f>C70</f>
        <v>0.14435323019993032</v>
      </c>
      <c r="D71" s="14">
        <f t="shared" ref="D71:E71" si="11">D70</f>
        <v>0.28624821693863245</v>
      </c>
      <c r="E71" s="14">
        <f t="shared" si="11"/>
        <v>0.64099650686689713</v>
      </c>
      <c r="F71" s="71"/>
      <c r="G71" s="14">
        <f>G70</f>
        <v>0.14435323019993032</v>
      </c>
      <c r="H71" s="14">
        <f t="shared" ref="H71" si="12">H70</f>
        <v>0.28624821693863245</v>
      </c>
      <c r="I71" s="14">
        <f t="shared" ref="I71" si="13">I70</f>
        <v>0.64099650686689713</v>
      </c>
      <c r="J71" s="71"/>
      <c r="K71" s="71"/>
      <c r="L71" s="73"/>
      <c r="M71" t="s">
        <v>206</v>
      </c>
    </row>
    <row r="72" spans="1:13" x14ac:dyDescent="0.3">
      <c r="A72" s="55"/>
      <c r="B72" s="56" t="s">
        <v>48</v>
      </c>
      <c r="C72" s="14">
        <f>AVERAGE(C69:C70)</f>
        <v>0.11212602624036284</v>
      </c>
      <c r="D72" s="14">
        <f t="shared" ref="D72:K72" si="14">AVERAGE(D69:D70)</f>
        <v>0.2749791339737353</v>
      </c>
      <c r="E72" s="14">
        <f t="shared" si="14"/>
        <v>0.74120021572805417</v>
      </c>
      <c r="F72" s="14">
        <f t="shared" si="14"/>
        <v>1.3750032929861102</v>
      </c>
      <c r="G72" s="14">
        <f t="shared" si="14"/>
        <v>0.11212602624036284</v>
      </c>
      <c r="H72" s="14">
        <f t="shared" si="14"/>
        <v>0.2749791339737353</v>
      </c>
      <c r="I72" s="14">
        <f t="shared" si="14"/>
        <v>0.74120021572805417</v>
      </c>
      <c r="J72" s="14">
        <f t="shared" si="14"/>
        <v>1.400730110466228</v>
      </c>
      <c r="K72" s="14">
        <f t="shared" si="14"/>
        <v>1.7697009249322193</v>
      </c>
      <c r="L72" s="228"/>
      <c r="M72" t="s">
        <v>253</v>
      </c>
    </row>
    <row r="73" spans="1:13" x14ac:dyDescent="0.3">
      <c r="A73" s="53" t="s">
        <v>76</v>
      </c>
      <c r="B73" s="54" t="s">
        <v>103</v>
      </c>
      <c r="C73" s="15">
        <f>AVERAGE(C33,C55,C60)</f>
        <v>0.11739250331870832</v>
      </c>
      <c r="D73" s="15">
        <f t="shared" ref="D73:J73" si="15">AVERAGE(D33,D55,D60)</f>
        <v>0.29148981787645145</v>
      </c>
      <c r="E73" s="15">
        <f t="shared" si="15"/>
        <v>0.53493769280568682</v>
      </c>
      <c r="F73" s="15">
        <f t="shared" si="15"/>
        <v>0.8459545547365791</v>
      </c>
      <c r="G73" s="15">
        <f t="shared" si="15"/>
        <v>0.11739250331870832</v>
      </c>
      <c r="H73" s="15">
        <f t="shared" si="15"/>
        <v>0.29148981787645145</v>
      </c>
      <c r="I73" s="15">
        <f t="shared" si="15"/>
        <v>0.53493769280568682</v>
      </c>
      <c r="J73" s="15">
        <f t="shared" si="15"/>
        <v>0.8459545547365791</v>
      </c>
      <c r="K73" s="15">
        <f>AVERAGE(K33,K55,K60)</f>
        <v>1.223753030883189</v>
      </c>
      <c r="L73" s="17">
        <f>AVERAGE(L33,L55,L60)</f>
        <v>1.6680200405467589</v>
      </c>
      <c r="M73" s="2"/>
    </row>
    <row r="74" spans="1:13" x14ac:dyDescent="0.3">
      <c r="A74" s="57"/>
      <c r="B74" s="58" t="s">
        <v>128</v>
      </c>
      <c r="C74" s="18">
        <f>C73</f>
        <v>0.11739250331870832</v>
      </c>
      <c r="D74" s="18">
        <f>D51</f>
        <v>0.48419999999999996</v>
      </c>
      <c r="E74" s="18">
        <f t="shared" ref="E74" si="16">E73</f>
        <v>0.53493769280568682</v>
      </c>
      <c r="F74" s="18">
        <f>F73</f>
        <v>0.8459545547365791</v>
      </c>
      <c r="G74" s="18">
        <f>G73</f>
        <v>0.11739250331870832</v>
      </c>
      <c r="H74" s="18">
        <f>H51</f>
        <v>0.48419999999999996</v>
      </c>
      <c r="I74" s="18">
        <f t="shared" ref="I74" si="17">I73</f>
        <v>0.53493769280568682</v>
      </c>
      <c r="J74" s="18">
        <f>J73</f>
        <v>0.8459545547365791</v>
      </c>
      <c r="K74" s="18">
        <f>K73</f>
        <v>1.223753030883189</v>
      </c>
      <c r="L74" s="298">
        <f>L73</f>
        <v>1.6680200405467589</v>
      </c>
      <c r="M74" t="s">
        <v>220</v>
      </c>
    </row>
    <row r="75" spans="1:13" x14ac:dyDescent="0.3">
      <c r="A75" s="53" t="s">
        <v>38</v>
      </c>
      <c r="B75" s="54" t="s">
        <v>201</v>
      </c>
      <c r="C75" s="15">
        <f>C76</f>
        <v>9.3009473288407307E-2</v>
      </c>
      <c r="D75" s="15">
        <f t="shared" ref="D75:K75" si="18">D76</f>
        <v>0.20473213358637765</v>
      </c>
      <c r="E75" s="15">
        <f t="shared" si="18"/>
        <v>0.35288479035961468</v>
      </c>
      <c r="F75" s="15">
        <f t="shared" si="18"/>
        <v>0.53939401242031915</v>
      </c>
      <c r="G75" s="15">
        <f t="shared" si="18"/>
        <v>9.3009473288407307E-2</v>
      </c>
      <c r="H75" s="15">
        <f t="shared" si="18"/>
        <v>0.20473213358637765</v>
      </c>
      <c r="I75" s="15">
        <f t="shared" si="18"/>
        <v>0.35288479035961468</v>
      </c>
      <c r="J75" s="15">
        <f t="shared" si="18"/>
        <v>0.53939401242031915</v>
      </c>
      <c r="K75" s="15">
        <f t="shared" si="18"/>
        <v>0.77151729411225378</v>
      </c>
      <c r="L75" s="17">
        <f>L73</f>
        <v>1.6680200405467589</v>
      </c>
      <c r="M75" t="s">
        <v>311</v>
      </c>
    </row>
    <row r="76" spans="1:13" x14ac:dyDescent="0.3">
      <c r="A76" s="55"/>
      <c r="B76" s="56" t="s">
        <v>188</v>
      </c>
      <c r="C76" s="14">
        <f>AVERAGE(C31,C50)</f>
        <v>9.3009473288407307E-2</v>
      </c>
      <c r="D76" s="14">
        <f t="shared" ref="D76:K76" si="19">AVERAGE(D31,D50)</f>
        <v>0.20473213358637765</v>
      </c>
      <c r="E76" s="14">
        <f t="shared" si="19"/>
        <v>0.35288479035961468</v>
      </c>
      <c r="F76" s="14">
        <f t="shared" si="19"/>
        <v>0.53939401242031915</v>
      </c>
      <c r="G76" s="14">
        <f t="shared" si="19"/>
        <v>9.3009473288407307E-2</v>
      </c>
      <c r="H76" s="14">
        <f t="shared" si="19"/>
        <v>0.20473213358637765</v>
      </c>
      <c r="I76" s="14">
        <f t="shared" si="19"/>
        <v>0.35288479035961468</v>
      </c>
      <c r="J76" s="14">
        <f t="shared" si="19"/>
        <v>0.53939401242031915</v>
      </c>
      <c r="K76" s="14">
        <f t="shared" si="19"/>
        <v>0.77151729411225378</v>
      </c>
      <c r="L76" s="73"/>
    </row>
    <row r="77" spans="1:13" x14ac:dyDescent="0.3">
      <c r="A77" s="59"/>
      <c r="B77" s="56" t="s">
        <v>202</v>
      </c>
      <c r="C77" s="14">
        <f t="shared" ref="C77:K77" si="20">C76</f>
        <v>9.3009473288407307E-2</v>
      </c>
      <c r="D77" s="14">
        <f t="shared" si="20"/>
        <v>0.20473213358637765</v>
      </c>
      <c r="E77" s="14">
        <f t="shared" si="20"/>
        <v>0.35288479035961468</v>
      </c>
      <c r="F77" s="14">
        <f t="shared" si="20"/>
        <v>0.53939401242031915</v>
      </c>
      <c r="G77" s="14">
        <f t="shared" si="20"/>
        <v>9.3009473288407307E-2</v>
      </c>
      <c r="H77" s="14">
        <f t="shared" si="20"/>
        <v>0.20473213358637765</v>
      </c>
      <c r="I77" s="14">
        <f t="shared" si="20"/>
        <v>0.35288479035961468</v>
      </c>
      <c r="J77" s="14">
        <f t="shared" si="20"/>
        <v>0.53939401242031915</v>
      </c>
      <c r="K77" s="14">
        <f t="shared" si="20"/>
        <v>0.77151729411225378</v>
      </c>
      <c r="L77" s="17">
        <f>L73</f>
        <v>1.6680200405467589</v>
      </c>
      <c r="M77" t="s">
        <v>311</v>
      </c>
    </row>
    <row r="78" spans="1:13" x14ac:dyDescent="0.3">
      <c r="A78" s="59"/>
      <c r="B78" s="56" t="s">
        <v>196</v>
      </c>
      <c r="C78" s="14">
        <f>AVERAGE(C32,C36,C45,C46,C61)</f>
        <v>5.3498812620357349E-2</v>
      </c>
      <c r="D78" s="14">
        <f t="shared" ref="D78:E78" si="21">AVERAGE(D32,D36,D45,D46,D61)</f>
        <v>0.20029193924602223</v>
      </c>
      <c r="E78" s="14">
        <f t="shared" si="21"/>
        <v>0.3533930994735891</v>
      </c>
      <c r="F78" s="14">
        <f>AVERAGE(F32,F36,F45,F46,F61)</f>
        <v>0.48666632820939676</v>
      </c>
      <c r="G78" s="14">
        <f>AVERAGE(G32,G36,G45,G46,G61)</f>
        <v>5.3498812620357349E-2</v>
      </c>
      <c r="H78" s="14">
        <f t="shared" ref="H78:J78" si="22">AVERAGE(H32,H36,H45,H46,H61)</f>
        <v>0.20029193924602223</v>
      </c>
      <c r="I78" s="14">
        <f t="shared" si="22"/>
        <v>0.3533930994735891</v>
      </c>
      <c r="J78" s="14">
        <f t="shared" si="22"/>
        <v>0.48666632820939676</v>
      </c>
      <c r="K78" s="71"/>
      <c r="L78" s="73"/>
    </row>
    <row r="79" spans="1:13" x14ac:dyDescent="0.3">
      <c r="A79" s="59"/>
      <c r="B79" s="56" t="s">
        <v>122</v>
      </c>
      <c r="C79" s="14">
        <f>C76</f>
        <v>9.3009473288407307E-2</v>
      </c>
      <c r="D79" s="14">
        <f>D76</f>
        <v>0.20473213358637765</v>
      </c>
      <c r="E79" s="14">
        <f>E76</f>
        <v>0.35288479035961468</v>
      </c>
      <c r="F79" s="71"/>
      <c r="G79" s="14">
        <f>G76</f>
        <v>9.3009473288407307E-2</v>
      </c>
      <c r="H79" s="14">
        <f>H76</f>
        <v>0.20473213358637765</v>
      </c>
      <c r="I79" s="14">
        <f>I76</f>
        <v>0.35288479035961468</v>
      </c>
      <c r="J79" s="71"/>
      <c r="K79" s="71"/>
      <c r="L79" s="73"/>
      <c r="M79" t="s">
        <v>210</v>
      </c>
    </row>
    <row r="80" spans="1:13" x14ac:dyDescent="0.3">
      <c r="A80" s="59"/>
      <c r="B80" s="56" t="s">
        <v>197</v>
      </c>
      <c r="C80" s="14">
        <f t="shared" ref="C80:J80" si="23">AVERAGE(C49,C63)</f>
        <v>8.1750000000000003E-2</v>
      </c>
      <c r="D80" s="14">
        <f t="shared" si="23"/>
        <v>0.24385000000000001</v>
      </c>
      <c r="E80" s="14">
        <f t="shared" si="23"/>
        <v>0.37587500000000007</v>
      </c>
      <c r="F80" s="14">
        <f t="shared" si="23"/>
        <v>0.40312500000000007</v>
      </c>
      <c r="G80" s="14">
        <f t="shared" si="23"/>
        <v>8.1750000000000003E-2</v>
      </c>
      <c r="H80" s="14">
        <f t="shared" si="23"/>
        <v>0.24385000000000001</v>
      </c>
      <c r="I80" s="14">
        <f t="shared" si="23"/>
        <v>0.37587500000000007</v>
      </c>
      <c r="J80" s="14">
        <f t="shared" si="23"/>
        <v>0.40312500000000007</v>
      </c>
      <c r="K80" s="71"/>
      <c r="L80" s="73"/>
    </row>
    <row r="81" spans="1:13" x14ac:dyDescent="0.3">
      <c r="A81" s="59"/>
      <c r="B81" s="56" t="s">
        <v>207</v>
      </c>
      <c r="C81" s="14">
        <f t="shared" ref="C81:J81" si="24">AVERAGE(C48,C56)</f>
        <v>0.09</v>
      </c>
      <c r="D81" s="14">
        <f t="shared" si="24"/>
        <v>0.2066666666666665</v>
      </c>
      <c r="E81" s="14">
        <f t="shared" si="24"/>
        <v>0.21749999999999997</v>
      </c>
      <c r="F81" s="14">
        <f t="shared" si="24"/>
        <v>0.21749999999999997</v>
      </c>
      <c r="G81" s="14">
        <f t="shared" si="24"/>
        <v>0.09</v>
      </c>
      <c r="H81" s="14">
        <f t="shared" si="24"/>
        <v>0.2066666666666665</v>
      </c>
      <c r="I81" s="14">
        <f t="shared" si="24"/>
        <v>0.21749999999999997</v>
      </c>
      <c r="J81" s="14">
        <f t="shared" si="24"/>
        <v>0.21749999999999997</v>
      </c>
      <c r="K81" s="71"/>
      <c r="L81" s="73"/>
    </row>
    <row r="82" spans="1:13" x14ac:dyDescent="0.3">
      <c r="A82" s="59"/>
      <c r="B82" s="56" t="s">
        <v>208</v>
      </c>
      <c r="C82" s="14">
        <f>AVERAGE(C39,C42,C54,C52)</f>
        <v>0.24956559174597434</v>
      </c>
      <c r="D82" s="14">
        <f>AVERAGE(D39,D54,D52)</f>
        <v>0.37522479228491973</v>
      </c>
      <c r="E82" s="14">
        <f>AVERAGE(E39,E54,E52)</f>
        <v>0.91286800916159339</v>
      </c>
      <c r="F82" s="71"/>
      <c r="G82" s="14">
        <f>AVERAGE(G39,G54,G52)</f>
        <v>0.24956559174597434</v>
      </c>
      <c r="H82" s="14">
        <f>AVERAGE(H39,H54,H52)</f>
        <v>0.37522479228491973</v>
      </c>
      <c r="I82" s="14">
        <f>AVERAGE(I39,I54,I52)</f>
        <v>0.91286800916159339</v>
      </c>
      <c r="J82" s="71"/>
      <c r="K82" s="71"/>
      <c r="L82" s="73"/>
    </row>
    <row r="83" spans="1:13" x14ac:dyDescent="0.3">
      <c r="A83" s="59"/>
      <c r="B83" s="56" t="s">
        <v>199</v>
      </c>
      <c r="C83" s="14">
        <f>AVERAGE(C53,C47,C62)</f>
        <v>0.13392584363675464</v>
      </c>
      <c r="D83" s="14">
        <f t="shared" ref="D83:E83" si="25">AVERAGE(D53,D47,D62)</f>
        <v>0.23025705825886392</v>
      </c>
      <c r="E83" s="14">
        <f t="shared" si="25"/>
        <v>0.56857574573039171</v>
      </c>
      <c r="F83" s="71"/>
      <c r="G83" s="14">
        <f>AVERAGE(G53,G47,G62)</f>
        <v>0.13392584363675464</v>
      </c>
      <c r="H83" s="14">
        <f t="shared" ref="H83:I83" si="26">AVERAGE(H53,H47,H62)</f>
        <v>0.23025705825886392</v>
      </c>
      <c r="I83" s="14">
        <f t="shared" si="26"/>
        <v>0.56857574573039171</v>
      </c>
      <c r="J83" s="71"/>
      <c r="K83" s="71"/>
      <c r="L83" s="73"/>
    </row>
    <row r="84" spans="1:13" x14ac:dyDescent="0.3">
      <c r="A84" s="59"/>
      <c r="B84" s="56" t="s">
        <v>189</v>
      </c>
      <c r="C84" s="14">
        <f>C64</f>
        <v>3.1025316088940914E-2</v>
      </c>
      <c r="D84" s="14">
        <f>D64</f>
        <v>0.10884252108118435</v>
      </c>
      <c r="E84" s="71"/>
      <c r="F84" s="71"/>
      <c r="G84" s="14">
        <f>G64</f>
        <v>3.1025316088940914E-2</v>
      </c>
      <c r="H84" s="14">
        <f>H64</f>
        <v>0.10884252108118435</v>
      </c>
      <c r="I84" s="71"/>
      <c r="J84" s="71"/>
      <c r="K84" s="71"/>
      <c r="L84" s="73"/>
    </row>
    <row r="85" spans="1:13" x14ac:dyDescent="0.3">
      <c r="A85" s="222"/>
      <c r="B85" s="58" t="s">
        <v>193</v>
      </c>
      <c r="C85" s="18">
        <f>C57</f>
        <v>0.13200000000000001</v>
      </c>
      <c r="D85" s="18">
        <f>D57</f>
        <v>0.1835</v>
      </c>
      <c r="E85" s="227"/>
      <c r="F85" s="227"/>
      <c r="G85" s="18">
        <f>G57</f>
        <v>0.13200000000000001</v>
      </c>
      <c r="H85" s="18">
        <f>H57</f>
        <v>0.1835</v>
      </c>
      <c r="I85" s="227"/>
      <c r="J85" s="227"/>
      <c r="K85" s="227"/>
      <c r="L85" s="228"/>
    </row>
    <row r="86" spans="1:13" x14ac:dyDescent="0.3">
      <c r="A86" s="11"/>
    </row>
    <row r="87" spans="1:13" x14ac:dyDescent="0.3">
      <c r="A87" s="64"/>
      <c r="B87" t="s">
        <v>90</v>
      </c>
    </row>
    <row r="88" spans="1:13" x14ac:dyDescent="0.3">
      <c r="B88" t="s">
        <v>99</v>
      </c>
      <c r="C88" s="4"/>
      <c r="D88" s="4"/>
      <c r="E88" s="4"/>
      <c r="F88" s="4"/>
      <c r="G88" s="4"/>
      <c r="H88" s="4"/>
      <c r="I88" s="4"/>
      <c r="J88" s="4"/>
      <c r="K88" s="4"/>
      <c r="L88" s="4"/>
      <c r="M88" s="2"/>
    </row>
  </sheetData>
  <mergeCells count="11">
    <mergeCell ref="C66:F66"/>
    <mergeCell ref="M9:Z10"/>
    <mergeCell ref="M13:Y14"/>
    <mergeCell ref="A1:B1"/>
    <mergeCell ref="A2:B2"/>
    <mergeCell ref="C2:F2"/>
    <mergeCell ref="A28:B28"/>
    <mergeCell ref="C28:F28"/>
    <mergeCell ref="G2:L2"/>
    <mergeCell ref="G28:L28"/>
    <mergeCell ref="G66:L6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72"/>
  <sheetViews>
    <sheetView zoomScale="85" zoomScaleNormal="85" workbookViewId="0">
      <selection activeCell="C63" sqref="C63"/>
    </sheetView>
  </sheetViews>
  <sheetFormatPr defaultRowHeight="14.4" x14ac:dyDescent="0.3"/>
  <cols>
    <col min="1" max="1" width="27.21875" customWidth="1"/>
    <col min="2" max="2" width="42.77734375" customWidth="1"/>
    <col min="13" max="13" width="41" bestFit="1" customWidth="1"/>
  </cols>
  <sheetData>
    <row r="1" spans="1:19" ht="23.25" customHeight="1" x14ac:dyDescent="0.3">
      <c r="A1" s="318" t="s">
        <v>250</v>
      </c>
      <c r="B1" s="318"/>
      <c r="K1" s="67"/>
      <c r="L1" s="67"/>
    </row>
    <row r="2" spans="1:19" ht="18" x14ac:dyDescent="0.35">
      <c r="A2" s="316" t="s">
        <v>50</v>
      </c>
      <c r="B2" s="325"/>
      <c r="C2" s="313" t="s">
        <v>11</v>
      </c>
      <c r="D2" s="314"/>
      <c r="E2" s="314"/>
      <c r="F2" s="314"/>
      <c r="G2" s="320" t="s">
        <v>12</v>
      </c>
      <c r="H2" s="321"/>
      <c r="I2" s="321"/>
      <c r="J2" s="321"/>
      <c r="K2" s="321"/>
      <c r="L2" s="322"/>
    </row>
    <row r="3" spans="1:19" x14ac:dyDescent="0.3">
      <c r="A3" s="306" t="s">
        <v>24</v>
      </c>
      <c r="B3" s="293" t="s">
        <v>88</v>
      </c>
      <c r="C3" s="307" t="s">
        <v>0</v>
      </c>
      <c r="D3" s="308" t="s">
        <v>1</v>
      </c>
      <c r="E3" s="308" t="s">
        <v>2</v>
      </c>
      <c r="F3" s="308" t="s">
        <v>3</v>
      </c>
      <c r="G3" s="307" t="s">
        <v>0</v>
      </c>
      <c r="H3" s="308" t="s">
        <v>1</v>
      </c>
      <c r="I3" s="308" t="s">
        <v>2</v>
      </c>
      <c r="J3" s="308" t="s">
        <v>3</v>
      </c>
      <c r="K3" s="308" t="s">
        <v>4</v>
      </c>
      <c r="L3" s="305" t="s">
        <v>309</v>
      </c>
    </row>
    <row r="4" spans="1:19" x14ac:dyDescent="0.3">
      <c r="A4" s="33" t="s">
        <v>249</v>
      </c>
      <c r="B4" s="34" t="s">
        <v>35</v>
      </c>
      <c r="C4" s="35" t="s">
        <v>23</v>
      </c>
      <c r="D4" s="34"/>
      <c r="E4" s="35" t="s">
        <v>10</v>
      </c>
      <c r="F4" s="35" t="s">
        <v>10</v>
      </c>
      <c r="G4" s="35" t="s">
        <v>23</v>
      </c>
      <c r="H4" s="34"/>
      <c r="I4" s="35" t="s">
        <v>10</v>
      </c>
      <c r="J4" s="35" t="s">
        <v>10</v>
      </c>
      <c r="K4" s="34"/>
      <c r="L4" s="282"/>
    </row>
    <row r="5" spans="1:19" x14ac:dyDescent="0.3">
      <c r="A5" s="283"/>
      <c r="B5" s="2" t="s">
        <v>83</v>
      </c>
      <c r="C5" s="4">
        <v>0.83</v>
      </c>
      <c r="F5" s="42"/>
      <c r="G5" s="47">
        <v>0.83</v>
      </c>
      <c r="K5" s="42"/>
      <c r="L5" s="44"/>
      <c r="M5" t="s">
        <v>265</v>
      </c>
    </row>
    <row r="6" spans="1:19" x14ac:dyDescent="0.3">
      <c r="A6" s="283"/>
      <c r="B6" s="2" t="s">
        <v>61</v>
      </c>
      <c r="C6" s="47">
        <v>0.9</v>
      </c>
      <c r="D6" s="47">
        <v>0.9</v>
      </c>
      <c r="E6" s="60">
        <v>0.9</v>
      </c>
      <c r="F6" s="60">
        <v>0.9</v>
      </c>
      <c r="G6" s="47">
        <v>0.9</v>
      </c>
      <c r="H6" s="47">
        <v>0.9</v>
      </c>
      <c r="I6" s="60">
        <v>0.9</v>
      </c>
      <c r="J6" s="60">
        <v>0.9</v>
      </c>
      <c r="L6" s="31"/>
    </row>
    <row r="7" spans="1:19" x14ac:dyDescent="0.3">
      <c r="A7" s="283"/>
      <c r="C7" s="22"/>
      <c r="D7" s="22"/>
      <c r="E7" s="22"/>
      <c r="F7" s="22"/>
      <c r="G7" s="22"/>
      <c r="H7" s="22"/>
      <c r="I7" s="22"/>
      <c r="J7" s="22"/>
      <c r="K7" s="86"/>
      <c r="L7" s="273"/>
    </row>
    <row r="8" spans="1:19" x14ac:dyDescent="0.3">
      <c r="A8" s="39" t="s">
        <v>6</v>
      </c>
      <c r="B8" s="23" t="s">
        <v>31</v>
      </c>
      <c r="C8" s="78" t="s">
        <v>78</v>
      </c>
      <c r="D8" s="78" t="s">
        <v>53</v>
      </c>
      <c r="E8" s="78" t="s">
        <v>54</v>
      </c>
      <c r="F8" s="78" t="s">
        <v>92</v>
      </c>
      <c r="G8" s="78" t="s">
        <v>78</v>
      </c>
      <c r="H8" s="78" t="s">
        <v>53</v>
      </c>
      <c r="I8" s="78" t="s">
        <v>54</v>
      </c>
      <c r="J8" s="78" t="s">
        <v>92</v>
      </c>
      <c r="K8" s="78" t="s">
        <v>93</v>
      </c>
      <c r="L8" s="79"/>
      <c r="M8" s="86"/>
    </row>
    <row r="9" spans="1:19" x14ac:dyDescent="0.3">
      <c r="A9" s="11"/>
      <c r="B9" s="2" t="s">
        <v>7</v>
      </c>
      <c r="C9" s="4">
        <v>0.98</v>
      </c>
      <c r="D9" s="4">
        <v>0.98</v>
      </c>
      <c r="E9" s="4">
        <v>0.99</v>
      </c>
      <c r="F9" s="28"/>
      <c r="G9" s="4">
        <v>0.98</v>
      </c>
      <c r="H9" s="4">
        <v>0.98</v>
      </c>
      <c r="I9" s="4">
        <v>0.99</v>
      </c>
      <c r="J9" s="4">
        <v>0.99</v>
      </c>
      <c r="K9" s="28"/>
      <c r="L9" s="29"/>
      <c r="M9" s="276" t="s">
        <v>264</v>
      </c>
    </row>
    <row r="10" spans="1:19" x14ac:dyDescent="0.3">
      <c r="A10" s="38"/>
      <c r="B10" s="2" t="s">
        <v>8</v>
      </c>
      <c r="C10" s="4">
        <v>0.95</v>
      </c>
      <c r="D10" s="4">
        <v>0.98</v>
      </c>
      <c r="E10" s="4">
        <v>0.99</v>
      </c>
      <c r="F10" s="4">
        <v>0.99</v>
      </c>
      <c r="G10" s="4">
        <v>0.95</v>
      </c>
      <c r="H10" s="4">
        <v>0.98</v>
      </c>
      <c r="I10" s="4">
        <v>0.99</v>
      </c>
      <c r="J10" s="4">
        <v>0.99</v>
      </c>
      <c r="K10" s="4">
        <v>0.99</v>
      </c>
      <c r="L10" s="12">
        <v>0.99</v>
      </c>
    </row>
    <row r="11" spans="1:19" x14ac:dyDescent="0.3">
      <c r="A11" s="38"/>
      <c r="B11" s="2"/>
      <c r="L11" s="31"/>
    </row>
    <row r="12" spans="1:19" x14ac:dyDescent="0.3">
      <c r="A12" s="39" t="s">
        <v>19</v>
      </c>
      <c r="B12" s="23" t="s">
        <v>32</v>
      </c>
      <c r="C12" s="78" t="s">
        <v>78</v>
      </c>
      <c r="D12" s="78" t="s">
        <v>53</v>
      </c>
      <c r="E12" s="78" t="s">
        <v>54</v>
      </c>
      <c r="F12" s="78" t="s">
        <v>92</v>
      </c>
      <c r="G12" s="78" t="s">
        <v>78</v>
      </c>
      <c r="H12" s="78" t="s">
        <v>53</v>
      </c>
      <c r="I12" s="78" t="s">
        <v>54</v>
      </c>
      <c r="J12" s="78" t="s">
        <v>92</v>
      </c>
      <c r="K12" s="78" t="s">
        <v>93</v>
      </c>
      <c r="L12" s="79"/>
      <c r="M12" s="86"/>
    </row>
    <row r="13" spans="1:19" x14ac:dyDescent="0.3">
      <c r="A13" s="11"/>
      <c r="B13" s="2" t="s">
        <v>48</v>
      </c>
      <c r="C13" s="47">
        <v>0.61</v>
      </c>
      <c r="D13" s="4">
        <v>0.61</v>
      </c>
      <c r="E13" s="4">
        <v>0.61</v>
      </c>
      <c r="F13" s="4">
        <v>0.61</v>
      </c>
      <c r="G13" s="47">
        <v>0.61</v>
      </c>
      <c r="H13" s="4">
        <v>0.61</v>
      </c>
      <c r="I13" s="4">
        <v>0.61</v>
      </c>
      <c r="J13" s="4">
        <v>0.61</v>
      </c>
      <c r="K13" s="4">
        <v>0.61</v>
      </c>
      <c r="L13" s="12"/>
    </row>
    <row r="14" spans="1:19" x14ac:dyDescent="0.3">
      <c r="A14" s="11"/>
      <c r="B14" s="2"/>
      <c r="C14" s="4"/>
      <c r="D14" s="4"/>
      <c r="E14" s="4"/>
      <c r="F14" s="4"/>
      <c r="G14" s="4"/>
      <c r="H14" s="4"/>
      <c r="I14" s="4"/>
      <c r="J14" s="4"/>
      <c r="K14" s="4"/>
      <c r="L14" s="12"/>
    </row>
    <row r="15" spans="1:19" x14ac:dyDescent="0.3">
      <c r="A15" s="39" t="s">
        <v>47</v>
      </c>
      <c r="B15" s="23" t="s">
        <v>42</v>
      </c>
      <c r="C15" s="52"/>
      <c r="D15" s="52"/>
      <c r="E15" s="52"/>
      <c r="F15" s="52"/>
      <c r="G15" s="52"/>
      <c r="H15" s="52"/>
      <c r="I15" s="52"/>
      <c r="J15" s="52"/>
      <c r="K15" s="52"/>
      <c r="L15" s="281"/>
      <c r="M15" t="s">
        <v>266</v>
      </c>
      <c r="S15" s="24"/>
    </row>
    <row r="16" spans="1:19" x14ac:dyDescent="0.3">
      <c r="A16" s="11"/>
      <c r="B16" s="2" t="s">
        <v>26</v>
      </c>
      <c r="C16" s="4">
        <v>0.71</v>
      </c>
      <c r="D16" s="4">
        <v>0.71</v>
      </c>
      <c r="E16" s="4">
        <v>0.71</v>
      </c>
      <c r="F16" s="4">
        <v>0.71</v>
      </c>
      <c r="G16" s="4">
        <v>0.71</v>
      </c>
      <c r="H16" s="4">
        <v>0.71</v>
      </c>
      <c r="I16" s="4">
        <v>0.71</v>
      </c>
      <c r="J16" s="4">
        <v>0.71</v>
      </c>
      <c r="K16" s="4">
        <v>0.71</v>
      </c>
      <c r="L16" s="12">
        <v>0.71</v>
      </c>
      <c r="M16" s="276" t="s">
        <v>264</v>
      </c>
      <c r="S16" s="24"/>
    </row>
    <row r="17" spans="1:19" x14ac:dyDescent="0.3">
      <c r="A17" s="11"/>
      <c r="B17" s="2" t="s">
        <v>46</v>
      </c>
      <c r="C17" s="4">
        <v>0.78</v>
      </c>
      <c r="D17" s="4">
        <v>0.78</v>
      </c>
      <c r="E17" s="4">
        <v>0.78</v>
      </c>
      <c r="F17" s="4">
        <v>0.78</v>
      </c>
      <c r="G17" s="4">
        <v>0.78</v>
      </c>
      <c r="H17" s="4">
        <v>0.78</v>
      </c>
      <c r="I17" s="4">
        <v>0.78</v>
      </c>
      <c r="J17" s="4">
        <v>0.78</v>
      </c>
      <c r="K17" s="4">
        <v>0.78</v>
      </c>
      <c r="L17" s="12">
        <v>0.78</v>
      </c>
      <c r="S17" s="24"/>
    </row>
    <row r="18" spans="1:19" x14ac:dyDescent="0.3">
      <c r="A18" s="11"/>
      <c r="B18" s="2" t="s">
        <v>7</v>
      </c>
      <c r="C18" s="4">
        <v>1</v>
      </c>
      <c r="D18" s="4">
        <v>1</v>
      </c>
      <c r="E18" s="4">
        <v>1</v>
      </c>
      <c r="F18" s="42"/>
      <c r="G18" s="4">
        <v>1</v>
      </c>
      <c r="H18" s="4">
        <v>1</v>
      </c>
      <c r="I18" s="4">
        <v>1</v>
      </c>
      <c r="J18" s="4">
        <v>1</v>
      </c>
      <c r="K18" s="28"/>
      <c r="L18" s="29"/>
    </row>
    <row r="19" spans="1:19" x14ac:dyDescent="0.3">
      <c r="A19" s="11"/>
      <c r="B19" s="2"/>
      <c r="C19" s="4"/>
      <c r="D19" s="4"/>
      <c r="E19" s="4"/>
      <c r="G19" s="4"/>
      <c r="H19" s="4"/>
      <c r="I19" s="4"/>
      <c r="J19" s="4"/>
      <c r="K19" s="4"/>
      <c r="L19" s="12"/>
    </row>
    <row r="20" spans="1:19" x14ac:dyDescent="0.3">
      <c r="A20" s="39" t="s">
        <v>21</v>
      </c>
      <c r="B20" s="23" t="s">
        <v>33</v>
      </c>
      <c r="C20" s="52"/>
      <c r="D20" s="52"/>
      <c r="E20" s="52"/>
      <c r="F20" s="23"/>
      <c r="G20" s="52"/>
      <c r="H20" s="52"/>
      <c r="I20" s="52"/>
      <c r="J20" s="52"/>
      <c r="K20" s="52"/>
      <c r="L20" s="281"/>
      <c r="M20" t="s">
        <v>267</v>
      </c>
    </row>
    <row r="21" spans="1:19" x14ac:dyDescent="0.3">
      <c r="A21" s="11"/>
      <c r="B21" s="2" t="s">
        <v>8</v>
      </c>
      <c r="C21" s="4">
        <v>0.94799999999999995</v>
      </c>
      <c r="D21" s="4">
        <v>1</v>
      </c>
      <c r="E21" s="4">
        <v>0.9</v>
      </c>
      <c r="F21" s="4">
        <v>0.9</v>
      </c>
      <c r="G21" s="4">
        <v>0.94799999999999995</v>
      </c>
      <c r="H21" s="4">
        <v>1</v>
      </c>
      <c r="I21" s="4">
        <v>0.9</v>
      </c>
      <c r="J21" s="4">
        <v>0.9</v>
      </c>
      <c r="K21" s="4">
        <v>0.9</v>
      </c>
      <c r="L21" s="12">
        <v>0.9</v>
      </c>
    </row>
    <row r="22" spans="1:19" x14ac:dyDescent="0.3">
      <c r="A22" s="5"/>
      <c r="B22" s="6" t="s">
        <v>7</v>
      </c>
      <c r="C22" s="9">
        <v>0.97299999999999998</v>
      </c>
      <c r="D22" s="9">
        <v>0.93300000000000005</v>
      </c>
      <c r="E22" s="9">
        <v>0.98799999999999999</v>
      </c>
      <c r="F22" s="231"/>
      <c r="G22" s="9">
        <v>0.97299999999999998</v>
      </c>
      <c r="H22" s="9">
        <v>0.93300000000000005</v>
      </c>
      <c r="I22" s="9">
        <v>0.98799999999999999</v>
      </c>
      <c r="J22" s="26"/>
      <c r="K22" s="26"/>
      <c r="L22" s="27"/>
    </row>
    <row r="23" spans="1:19" x14ac:dyDescent="0.3">
      <c r="A23" s="11"/>
    </row>
    <row r="24" spans="1:19" ht="18" x14ac:dyDescent="0.35">
      <c r="A24" s="316" t="s">
        <v>38</v>
      </c>
      <c r="B24" s="317"/>
      <c r="C24" s="313" t="s">
        <v>11</v>
      </c>
      <c r="D24" s="314"/>
      <c r="E24" s="314"/>
      <c r="F24" s="315"/>
      <c r="G24" s="320" t="s">
        <v>12</v>
      </c>
      <c r="H24" s="321"/>
      <c r="I24" s="321"/>
      <c r="J24" s="321"/>
      <c r="K24" s="321"/>
      <c r="L24" s="322"/>
    </row>
    <row r="25" spans="1:19" x14ac:dyDescent="0.3">
      <c r="A25" s="68" t="s">
        <v>24</v>
      </c>
      <c r="B25" s="69" t="s">
        <v>88</v>
      </c>
      <c r="C25" s="19" t="s">
        <v>0</v>
      </c>
      <c r="D25" s="20" t="s">
        <v>1</v>
      </c>
      <c r="E25" s="20" t="s">
        <v>2</v>
      </c>
      <c r="F25" s="21" t="s">
        <v>3</v>
      </c>
      <c r="G25" s="3" t="s">
        <v>0</v>
      </c>
      <c r="H25" s="3" t="s">
        <v>1</v>
      </c>
      <c r="I25" s="3" t="s">
        <v>2</v>
      </c>
      <c r="J25" s="3" t="s">
        <v>3</v>
      </c>
      <c r="K25" s="3" t="s">
        <v>4</v>
      </c>
      <c r="L25" s="13" t="s">
        <v>309</v>
      </c>
    </row>
    <row r="26" spans="1:19" x14ac:dyDescent="0.3">
      <c r="A26" s="33" t="s">
        <v>6</v>
      </c>
      <c r="B26" s="34" t="s">
        <v>31</v>
      </c>
      <c r="C26" s="87" t="s">
        <v>78</v>
      </c>
      <c r="D26" s="87" t="s">
        <v>53</v>
      </c>
      <c r="E26" s="87" t="s">
        <v>54</v>
      </c>
      <c r="F26" s="87" t="s">
        <v>92</v>
      </c>
      <c r="G26" s="87" t="s">
        <v>78</v>
      </c>
      <c r="H26" s="87" t="s">
        <v>53</v>
      </c>
      <c r="I26" s="87" t="s">
        <v>54</v>
      </c>
      <c r="J26" s="87" t="s">
        <v>92</v>
      </c>
      <c r="K26" s="87" t="s">
        <v>93</v>
      </c>
      <c r="L26" s="88" t="s">
        <v>310</v>
      </c>
      <c r="M26" s="86"/>
    </row>
    <row r="27" spans="1:19" x14ac:dyDescent="0.3">
      <c r="A27" s="11"/>
      <c r="B27" s="2" t="s">
        <v>27</v>
      </c>
      <c r="C27" s="4">
        <v>0.95</v>
      </c>
      <c r="D27" s="4">
        <v>0.98</v>
      </c>
      <c r="E27" s="4">
        <v>0.98</v>
      </c>
      <c r="F27" s="4">
        <v>1</v>
      </c>
      <c r="G27" s="4">
        <v>0.95</v>
      </c>
      <c r="H27" s="4">
        <v>0.98</v>
      </c>
      <c r="I27" s="4">
        <v>0.98</v>
      </c>
      <c r="J27" s="4">
        <v>1</v>
      </c>
      <c r="K27" s="28"/>
      <c r="L27" s="29"/>
      <c r="M27" s="276" t="s">
        <v>264</v>
      </c>
    </row>
    <row r="28" spans="1:19" x14ac:dyDescent="0.3">
      <c r="A28" s="11"/>
      <c r="B28" s="2" t="s">
        <v>22</v>
      </c>
      <c r="C28" s="4">
        <v>0.98</v>
      </c>
      <c r="D28" s="4">
        <v>0.97</v>
      </c>
      <c r="E28" s="4">
        <v>0.99</v>
      </c>
      <c r="F28" s="4">
        <v>0.99</v>
      </c>
      <c r="G28" s="4">
        <v>0.98</v>
      </c>
      <c r="H28" s="4">
        <v>0.97</v>
      </c>
      <c r="I28" s="4">
        <v>0.99</v>
      </c>
      <c r="J28" s="4">
        <v>0.99</v>
      </c>
      <c r="K28" s="28"/>
      <c r="L28" s="29"/>
    </row>
    <row r="29" spans="1:19" x14ac:dyDescent="0.3">
      <c r="A29" s="11"/>
      <c r="B29" s="2" t="s">
        <v>17</v>
      </c>
      <c r="C29" s="4">
        <v>0.99</v>
      </c>
      <c r="D29" s="4">
        <v>0.99</v>
      </c>
      <c r="E29" s="4">
        <v>0.99</v>
      </c>
      <c r="F29" s="4">
        <v>1</v>
      </c>
      <c r="G29" s="4">
        <v>0.99</v>
      </c>
      <c r="H29" s="4">
        <v>0.99</v>
      </c>
      <c r="I29" s="4">
        <v>0.99</v>
      </c>
      <c r="J29" s="4">
        <v>1</v>
      </c>
      <c r="K29" s="4">
        <v>1</v>
      </c>
      <c r="L29" s="12">
        <v>1</v>
      </c>
    </row>
    <row r="30" spans="1:19" x14ac:dyDescent="0.3">
      <c r="A30" s="11"/>
      <c r="B30" s="2" t="s">
        <v>28</v>
      </c>
      <c r="C30" s="4">
        <v>0.98</v>
      </c>
      <c r="D30" s="4">
        <v>0.99</v>
      </c>
      <c r="E30" s="28"/>
      <c r="F30" s="28"/>
      <c r="G30" s="4">
        <v>0.98</v>
      </c>
      <c r="H30" s="4">
        <v>0.99</v>
      </c>
      <c r="I30" s="28"/>
      <c r="J30" s="28"/>
      <c r="K30" s="28"/>
      <c r="L30" s="29"/>
    </row>
    <row r="31" spans="1:19" x14ac:dyDescent="0.3">
      <c r="A31" s="11"/>
      <c r="B31" s="2"/>
      <c r="C31" s="14"/>
      <c r="D31" s="14"/>
      <c r="E31" s="14"/>
      <c r="F31" s="14"/>
      <c r="G31" s="14"/>
      <c r="H31" s="14"/>
      <c r="I31" s="14"/>
      <c r="J31" s="14"/>
      <c r="K31" s="14"/>
      <c r="L31" s="17"/>
    </row>
    <row r="32" spans="1:19" x14ac:dyDescent="0.3">
      <c r="A32" s="39" t="s">
        <v>41</v>
      </c>
      <c r="B32" s="23" t="s">
        <v>42</v>
      </c>
      <c r="C32" s="78" t="s">
        <v>78</v>
      </c>
      <c r="D32" s="78" t="s">
        <v>53</v>
      </c>
      <c r="E32" s="78" t="s">
        <v>54</v>
      </c>
      <c r="F32" s="78" t="s">
        <v>92</v>
      </c>
      <c r="G32" s="78" t="s">
        <v>78</v>
      </c>
      <c r="H32" s="78" t="s">
        <v>53</v>
      </c>
      <c r="I32" s="78" t="s">
        <v>54</v>
      </c>
      <c r="J32" s="78" t="s">
        <v>92</v>
      </c>
      <c r="K32" s="78" t="s">
        <v>93</v>
      </c>
      <c r="L32" s="79"/>
    </row>
    <row r="33" spans="1:19" x14ac:dyDescent="0.3">
      <c r="A33" s="11"/>
      <c r="B33" s="2" t="s">
        <v>43</v>
      </c>
      <c r="C33" s="4">
        <v>0.92</v>
      </c>
      <c r="D33" s="4">
        <v>0.92</v>
      </c>
      <c r="E33" s="4">
        <v>0.92</v>
      </c>
      <c r="F33" s="28"/>
      <c r="G33" s="4">
        <v>0.92</v>
      </c>
      <c r="H33" s="4">
        <v>0.92</v>
      </c>
      <c r="I33" s="4">
        <v>0.92</v>
      </c>
      <c r="J33" s="28"/>
      <c r="K33" s="28"/>
      <c r="L33" s="29"/>
    </row>
    <row r="34" spans="1:19" x14ac:dyDescent="0.3">
      <c r="A34" s="11"/>
      <c r="L34" s="31"/>
    </row>
    <row r="35" spans="1:19" x14ac:dyDescent="0.3">
      <c r="A35" s="39" t="s">
        <v>19</v>
      </c>
      <c r="B35" s="23" t="s">
        <v>32</v>
      </c>
      <c r="C35" s="78" t="s">
        <v>78</v>
      </c>
      <c r="D35" s="78" t="s">
        <v>53</v>
      </c>
      <c r="E35" s="78" t="s">
        <v>54</v>
      </c>
      <c r="F35" s="78" t="s">
        <v>92</v>
      </c>
      <c r="G35" s="78" t="s">
        <v>78</v>
      </c>
      <c r="H35" s="78" t="s">
        <v>53</v>
      </c>
      <c r="I35" s="78" t="s">
        <v>54</v>
      </c>
      <c r="J35" s="78" t="s">
        <v>92</v>
      </c>
      <c r="K35" s="78" t="s">
        <v>93</v>
      </c>
      <c r="L35" s="79"/>
      <c r="M35" s="86"/>
    </row>
    <row r="36" spans="1:19" x14ac:dyDescent="0.3">
      <c r="A36" s="11"/>
      <c r="B36" s="2" t="s">
        <v>49</v>
      </c>
      <c r="C36" s="4">
        <v>0.55000000000000004</v>
      </c>
      <c r="D36" s="4">
        <v>0.55000000000000004</v>
      </c>
      <c r="E36" s="4">
        <v>0.55000000000000004</v>
      </c>
      <c r="F36" s="4">
        <v>0.55000000000000004</v>
      </c>
      <c r="G36" s="4">
        <v>0.55000000000000004</v>
      </c>
      <c r="H36" s="4">
        <v>0.55000000000000004</v>
      </c>
      <c r="I36" s="4">
        <v>0.55000000000000004</v>
      </c>
      <c r="J36" s="4">
        <v>0.55000000000000004</v>
      </c>
      <c r="K36" s="4">
        <v>0.55000000000000004</v>
      </c>
      <c r="L36" s="12">
        <v>0.55000000000000004</v>
      </c>
    </row>
    <row r="37" spans="1:19" x14ac:dyDescent="0.3">
      <c r="A37" s="11"/>
      <c r="B37" s="2"/>
      <c r="C37" s="4"/>
      <c r="D37" s="4"/>
      <c r="E37" s="4"/>
      <c r="F37" s="4"/>
      <c r="G37" s="4"/>
      <c r="H37" s="4"/>
      <c r="I37" s="4"/>
      <c r="J37" s="4"/>
      <c r="K37" s="4"/>
      <c r="L37" s="12"/>
    </row>
    <row r="38" spans="1:19" x14ac:dyDescent="0.3">
      <c r="A38" s="39" t="s">
        <v>47</v>
      </c>
      <c r="B38" s="23" t="s">
        <v>42</v>
      </c>
      <c r="C38" s="52"/>
      <c r="D38" s="52"/>
      <c r="E38" s="52"/>
      <c r="F38" s="52"/>
      <c r="G38" s="52"/>
      <c r="H38" s="52"/>
      <c r="I38" s="52"/>
      <c r="J38" s="52"/>
      <c r="K38" s="52"/>
      <c r="L38" s="281"/>
      <c r="M38" t="s">
        <v>266</v>
      </c>
    </row>
    <row r="39" spans="1:19" x14ac:dyDescent="0.3">
      <c r="A39" s="11"/>
      <c r="B39" s="2" t="s">
        <v>43</v>
      </c>
      <c r="C39" s="4">
        <v>0.98</v>
      </c>
      <c r="D39" s="4">
        <v>0.98</v>
      </c>
      <c r="E39" s="4">
        <v>0.98</v>
      </c>
      <c r="F39" s="28"/>
      <c r="G39" s="4">
        <v>0.98</v>
      </c>
      <c r="H39" s="4">
        <v>0.98</v>
      </c>
      <c r="I39" s="4">
        <v>0.98</v>
      </c>
      <c r="J39" s="28"/>
      <c r="K39" s="28"/>
      <c r="L39" s="29"/>
      <c r="M39" s="276" t="s">
        <v>264</v>
      </c>
      <c r="S39" s="24"/>
    </row>
    <row r="40" spans="1:19" x14ac:dyDescent="0.3">
      <c r="A40" s="11"/>
      <c r="B40" s="2" t="s">
        <v>27</v>
      </c>
      <c r="C40" s="4">
        <v>1</v>
      </c>
      <c r="D40" s="4">
        <v>1</v>
      </c>
      <c r="E40" s="4">
        <v>1</v>
      </c>
      <c r="F40" s="4">
        <v>1</v>
      </c>
      <c r="G40" s="4">
        <v>1</v>
      </c>
      <c r="H40" s="4">
        <v>1</v>
      </c>
      <c r="I40" s="4">
        <v>1</v>
      </c>
      <c r="J40" s="4">
        <v>1</v>
      </c>
      <c r="K40" s="4">
        <v>1</v>
      </c>
      <c r="L40" s="28">
        <v>1</v>
      </c>
      <c r="S40" s="24"/>
    </row>
    <row r="41" spans="1:19" x14ac:dyDescent="0.3">
      <c r="A41" s="11"/>
      <c r="B41" s="2" t="s">
        <v>29</v>
      </c>
      <c r="C41" s="4">
        <v>0.86</v>
      </c>
      <c r="D41" s="4">
        <v>0.86</v>
      </c>
      <c r="E41" s="4">
        <v>0.86</v>
      </c>
      <c r="F41" s="4">
        <v>0.86</v>
      </c>
      <c r="G41" s="4">
        <v>0.86</v>
      </c>
      <c r="H41" s="4">
        <v>0.86</v>
      </c>
      <c r="I41" s="4">
        <v>0.86</v>
      </c>
      <c r="J41" s="4">
        <v>0.86</v>
      </c>
      <c r="K41" s="4">
        <v>0.86</v>
      </c>
      <c r="L41" s="12">
        <v>0.86</v>
      </c>
      <c r="S41" s="24"/>
    </row>
    <row r="42" spans="1:19" x14ac:dyDescent="0.3">
      <c r="A42" s="11"/>
      <c r="B42" s="2" t="s">
        <v>22</v>
      </c>
      <c r="C42" s="4">
        <v>1</v>
      </c>
      <c r="D42" s="4">
        <v>1</v>
      </c>
      <c r="E42" s="4">
        <v>1</v>
      </c>
      <c r="F42" s="4">
        <v>1</v>
      </c>
      <c r="G42" s="4">
        <v>1</v>
      </c>
      <c r="H42" s="4">
        <v>1</v>
      </c>
      <c r="I42" s="4">
        <v>1</v>
      </c>
      <c r="J42" s="4">
        <v>1</v>
      </c>
      <c r="K42" s="28"/>
      <c r="L42" s="29"/>
      <c r="S42" s="24"/>
    </row>
    <row r="43" spans="1:19" x14ac:dyDescent="0.3">
      <c r="A43" s="11"/>
      <c r="B43" s="2"/>
      <c r="C43" s="4"/>
      <c r="D43" s="4"/>
      <c r="E43" s="4"/>
      <c r="F43" s="4"/>
      <c r="G43" s="4"/>
      <c r="H43" s="4"/>
      <c r="I43" s="4"/>
      <c r="J43" s="4"/>
      <c r="K43" s="4"/>
      <c r="L43" s="12"/>
      <c r="S43" s="24"/>
    </row>
    <row r="44" spans="1:19" x14ac:dyDescent="0.3">
      <c r="A44" s="39" t="s">
        <v>268</v>
      </c>
      <c r="B44" s="23" t="s">
        <v>35</v>
      </c>
      <c r="C44" s="52"/>
      <c r="D44" s="52"/>
      <c r="E44" s="52"/>
      <c r="F44" s="52"/>
      <c r="G44" s="52"/>
      <c r="H44" s="52"/>
      <c r="I44" s="52"/>
      <c r="J44" s="52"/>
      <c r="K44" s="52"/>
      <c r="L44" s="281"/>
      <c r="S44" s="24"/>
    </row>
    <row r="45" spans="1:19" x14ac:dyDescent="0.3">
      <c r="A45" s="11"/>
      <c r="B45" s="2" t="s">
        <v>73</v>
      </c>
      <c r="C45" s="4">
        <v>0.97199999999999998</v>
      </c>
      <c r="D45" s="4">
        <v>0.97199999999999998</v>
      </c>
      <c r="E45" s="4">
        <v>0.97199999999999998</v>
      </c>
      <c r="F45" s="28"/>
      <c r="G45" s="4">
        <v>0.97199999999999998</v>
      </c>
      <c r="H45" s="4">
        <v>0.97199999999999998</v>
      </c>
      <c r="I45" s="4">
        <v>0.97199999999999998</v>
      </c>
      <c r="J45" s="28"/>
      <c r="K45" s="28"/>
      <c r="L45" s="29"/>
      <c r="S45" s="24"/>
    </row>
    <row r="46" spans="1:19" x14ac:dyDescent="0.3">
      <c r="A46" s="11"/>
      <c r="B46" s="2"/>
      <c r="C46" s="4"/>
      <c r="D46" s="4"/>
      <c r="E46" s="4"/>
      <c r="F46" s="4"/>
      <c r="G46" s="4"/>
      <c r="H46" s="4"/>
      <c r="I46" s="4"/>
      <c r="J46" s="4"/>
      <c r="K46" s="4"/>
      <c r="L46" s="12"/>
    </row>
    <row r="47" spans="1:19" x14ac:dyDescent="0.3">
      <c r="A47" s="39" t="s">
        <v>21</v>
      </c>
      <c r="B47" s="23" t="s">
        <v>33</v>
      </c>
      <c r="C47" s="52"/>
      <c r="D47" s="52"/>
      <c r="E47" s="52"/>
      <c r="F47" s="23"/>
      <c r="G47" s="52"/>
      <c r="H47" s="52"/>
      <c r="I47" s="52"/>
      <c r="J47" s="52"/>
      <c r="K47" s="52"/>
      <c r="L47" s="281"/>
      <c r="M47" t="s">
        <v>267</v>
      </c>
    </row>
    <row r="48" spans="1:19" x14ac:dyDescent="0.3">
      <c r="A48" s="5"/>
      <c r="B48" s="6" t="s">
        <v>22</v>
      </c>
      <c r="C48" s="9">
        <v>1</v>
      </c>
      <c r="D48" s="9">
        <v>0.97399999999999998</v>
      </c>
      <c r="E48" s="9">
        <v>0.98699999999999999</v>
      </c>
      <c r="F48" s="9">
        <v>0.98699999999999999</v>
      </c>
      <c r="G48" s="9">
        <v>1</v>
      </c>
      <c r="H48" s="9">
        <v>0.97399999999999998</v>
      </c>
      <c r="I48" s="9">
        <v>0.98699999999999999</v>
      </c>
      <c r="J48" s="9">
        <v>0.98699999999999999</v>
      </c>
      <c r="K48" s="26"/>
      <c r="L48" s="27"/>
    </row>
    <row r="49" spans="1:14" x14ac:dyDescent="0.3">
      <c r="B49" s="2"/>
      <c r="C49" s="4"/>
    </row>
    <row r="50" spans="1:14" x14ac:dyDescent="0.3">
      <c r="C50" s="313" t="s">
        <v>11</v>
      </c>
      <c r="D50" s="314"/>
      <c r="E50" s="314"/>
      <c r="F50" s="315"/>
      <c r="G50" s="320" t="s">
        <v>12</v>
      </c>
      <c r="H50" s="321"/>
      <c r="I50" s="321"/>
      <c r="J50" s="321"/>
      <c r="K50" s="321"/>
      <c r="L50" s="322"/>
    </row>
    <row r="51" spans="1:14" x14ac:dyDescent="0.3">
      <c r="A51" s="62" t="s">
        <v>39</v>
      </c>
      <c r="C51" s="19" t="s">
        <v>0</v>
      </c>
      <c r="D51" s="20" t="s">
        <v>1</v>
      </c>
      <c r="E51" s="20" t="s">
        <v>2</v>
      </c>
      <c r="F51" s="21" t="s">
        <v>3</v>
      </c>
      <c r="G51" s="3" t="s">
        <v>0</v>
      </c>
      <c r="H51" s="3" t="s">
        <v>1</v>
      </c>
      <c r="I51" s="3" t="s">
        <v>2</v>
      </c>
      <c r="J51" s="3" t="s">
        <v>3</v>
      </c>
      <c r="K51" s="3" t="s">
        <v>4</v>
      </c>
      <c r="L51" s="295" t="s">
        <v>309</v>
      </c>
    </row>
    <row r="52" spans="1:14" x14ac:dyDescent="0.3">
      <c r="A52" s="53" t="s">
        <v>50</v>
      </c>
      <c r="B52" s="54" t="s">
        <v>203</v>
      </c>
      <c r="C52" s="7">
        <f>C16</f>
        <v>0.71</v>
      </c>
      <c r="D52" s="7">
        <f t="shared" ref="D52:K52" si="0">D16</f>
        <v>0.71</v>
      </c>
      <c r="E52" s="7">
        <f t="shared" si="0"/>
        <v>0.71</v>
      </c>
      <c r="F52" s="7">
        <f t="shared" si="0"/>
        <v>0.71</v>
      </c>
      <c r="G52" s="7">
        <f t="shared" si="0"/>
        <v>0.71</v>
      </c>
      <c r="H52" s="7">
        <f t="shared" si="0"/>
        <v>0.71</v>
      </c>
      <c r="I52" s="7">
        <f t="shared" si="0"/>
        <v>0.71</v>
      </c>
      <c r="J52" s="7">
        <f t="shared" si="0"/>
        <v>0.71</v>
      </c>
      <c r="K52" s="7">
        <f t="shared" si="0"/>
        <v>0.71</v>
      </c>
      <c r="L52" s="8">
        <f>L16</f>
        <v>0.71</v>
      </c>
    </row>
    <row r="53" spans="1:14" x14ac:dyDescent="0.3">
      <c r="A53" s="55"/>
      <c r="B53" s="56" t="s">
        <v>224</v>
      </c>
      <c r="C53" s="4">
        <f>AVERAGE(C6,C10,C21,C17)</f>
        <v>0.89450000000000007</v>
      </c>
      <c r="D53" s="4">
        <f t="shared" ref="D53:K53" si="1">AVERAGE(D6,D10,D21,D17)</f>
        <v>0.91500000000000004</v>
      </c>
      <c r="E53" s="4">
        <f t="shared" si="1"/>
        <v>0.89250000000000007</v>
      </c>
      <c r="F53" s="4">
        <f t="shared" si="1"/>
        <v>0.89250000000000007</v>
      </c>
      <c r="G53" s="4">
        <f t="shared" si="1"/>
        <v>0.89450000000000007</v>
      </c>
      <c r="H53" s="4">
        <f t="shared" si="1"/>
        <v>0.91500000000000004</v>
      </c>
      <c r="I53" s="4">
        <f t="shared" si="1"/>
        <v>0.89250000000000007</v>
      </c>
      <c r="J53" s="4">
        <f t="shared" si="1"/>
        <v>0.89250000000000007</v>
      </c>
      <c r="K53" s="4">
        <f t="shared" si="1"/>
        <v>0.89</v>
      </c>
      <c r="L53" s="12">
        <f t="shared" ref="L53" si="2">AVERAGE(L6,L10,L21,L17)</f>
        <v>0.89</v>
      </c>
    </row>
    <row r="54" spans="1:14" x14ac:dyDescent="0.3">
      <c r="A54" s="55"/>
      <c r="B54" s="56" t="s">
        <v>225</v>
      </c>
      <c r="C54" s="4">
        <f>AVERAGE(C5,C9,C18,C22)</f>
        <v>0.94574999999999998</v>
      </c>
      <c r="D54" s="4">
        <f t="shared" ref="D54:E54" si="3">AVERAGE(D5,D9,D18,D22)</f>
        <v>0.97100000000000009</v>
      </c>
      <c r="E54" s="4">
        <f t="shared" si="3"/>
        <v>0.99266666666666659</v>
      </c>
      <c r="F54" s="28"/>
      <c r="G54" s="4">
        <f>AVERAGE(G5,G9,G18,G22)</f>
        <v>0.94574999999999998</v>
      </c>
      <c r="H54" s="4">
        <f t="shared" ref="H54:J54" si="4">AVERAGE(H5,H9,H18,H22)</f>
        <v>0.97100000000000009</v>
      </c>
      <c r="I54" s="4">
        <f t="shared" si="4"/>
        <v>0.99266666666666659</v>
      </c>
      <c r="J54" s="4">
        <f t="shared" si="4"/>
        <v>0.995</v>
      </c>
      <c r="K54" s="28"/>
      <c r="L54" s="29"/>
    </row>
    <row r="55" spans="1:14" x14ac:dyDescent="0.3">
      <c r="A55" s="55"/>
      <c r="B55" s="56" t="s">
        <v>205</v>
      </c>
      <c r="C55" s="4">
        <f>C54</f>
        <v>0.94574999999999998</v>
      </c>
      <c r="D55" s="4">
        <f t="shared" ref="D55:E55" si="5">D54</f>
        <v>0.97100000000000009</v>
      </c>
      <c r="E55" s="4">
        <f t="shared" si="5"/>
        <v>0.99266666666666659</v>
      </c>
      <c r="F55" s="28"/>
      <c r="G55" s="4">
        <f>G54</f>
        <v>0.94574999999999998</v>
      </c>
      <c r="H55" s="4">
        <f t="shared" ref="H55" si="6">H54</f>
        <v>0.97100000000000009</v>
      </c>
      <c r="I55" s="4">
        <f t="shared" ref="I55" si="7">I54</f>
        <v>0.99266666666666659</v>
      </c>
      <c r="J55" s="28"/>
      <c r="K55" s="28"/>
      <c r="L55" s="29"/>
      <c r="M55" t="s">
        <v>206</v>
      </c>
      <c r="N55" s="2"/>
    </row>
    <row r="56" spans="1:14" x14ac:dyDescent="0.3">
      <c r="A56" s="55"/>
      <c r="B56" s="56" t="s">
        <v>144</v>
      </c>
      <c r="C56" s="4">
        <f t="shared" ref="C56:K56" si="8">AVERAGE(C13)</f>
        <v>0.61</v>
      </c>
      <c r="D56" s="4">
        <f t="shared" si="8"/>
        <v>0.61</v>
      </c>
      <c r="E56" s="4">
        <f t="shared" si="8"/>
        <v>0.61</v>
      </c>
      <c r="F56" s="4">
        <f t="shared" si="8"/>
        <v>0.61</v>
      </c>
      <c r="G56" s="4">
        <f t="shared" si="8"/>
        <v>0.61</v>
      </c>
      <c r="H56" s="4">
        <f t="shared" si="8"/>
        <v>0.61</v>
      </c>
      <c r="I56" s="4">
        <f t="shared" si="8"/>
        <v>0.61</v>
      </c>
      <c r="J56" s="4">
        <f t="shared" si="8"/>
        <v>0.61</v>
      </c>
      <c r="K56" s="4">
        <f t="shared" si="8"/>
        <v>0.61</v>
      </c>
      <c r="L56" s="27"/>
    </row>
    <row r="57" spans="1:14" x14ac:dyDescent="0.3">
      <c r="A57" s="53" t="s">
        <v>76</v>
      </c>
      <c r="B57" s="54" t="s">
        <v>103</v>
      </c>
      <c r="C57" s="7">
        <f>AVERAGE(C29,C36)</f>
        <v>0.77</v>
      </c>
      <c r="D57" s="7">
        <f t="shared" ref="D57:K57" si="9">AVERAGE(D29,D36)</f>
        <v>0.77</v>
      </c>
      <c r="E57" s="7">
        <f t="shared" si="9"/>
        <v>0.77</v>
      </c>
      <c r="F57" s="7">
        <f t="shared" si="9"/>
        <v>0.77500000000000002</v>
      </c>
      <c r="G57" s="7">
        <f t="shared" si="9"/>
        <v>0.77</v>
      </c>
      <c r="H57" s="7">
        <f t="shared" si="9"/>
        <v>0.77</v>
      </c>
      <c r="I57" s="7">
        <f t="shared" si="9"/>
        <v>0.77</v>
      </c>
      <c r="J57" s="7">
        <f t="shared" si="9"/>
        <v>0.77500000000000002</v>
      </c>
      <c r="K57" s="7">
        <f t="shared" si="9"/>
        <v>0.77500000000000002</v>
      </c>
      <c r="L57" s="12">
        <f t="shared" ref="L57" si="10">AVERAGE(L29,L36)</f>
        <v>0.77500000000000002</v>
      </c>
      <c r="M57" s="2"/>
    </row>
    <row r="58" spans="1:14" x14ac:dyDescent="0.3">
      <c r="A58" s="57"/>
      <c r="B58" s="58" t="s">
        <v>269</v>
      </c>
      <c r="C58" s="9">
        <f>C41</f>
        <v>0.86</v>
      </c>
      <c r="D58" s="9">
        <f t="shared" ref="D58:K58" si="11">D41</f>
        <v>0.86</v>
      </c>
      <c r="E58" s="9">
        <f t="shared" si="11"/>
        <v>0.86</v>
      </c>
      <c r="F58" s="9">
        <f t="shared" si="11"/>
        <v>0.86</v>
      </c>
      <c r="G58" s="9">
        <f t="shared" si="11"/>
        <v>0.86</v>
      </c>
      <c r="H58" s="9">
        <f t="shared" si="11"/>
        <v>0.86</v>
      </c>
      <c r="I58" s="9">
        <f t="shared" si="11"/>
        <v>0.86</v>
      </c>
      <c r="J58" s="9">
        <f t="shared" si="11"/>
        <v>0.86</v>
      </c>
      <c r="K58" s="9">
        <f t="shared" si="11"/>
        <v>0.86</v>
      </c>
      <c r="L58" s="10">
        <f t="shared" ref="L58" si="12">L41</f>
        <v>0.86</v>
      </c>
    </row>
    <row r="59" spans="1:14" x14ac:dyDescent="0.3">
      <c r="A59" s="53" t="s">
        <v>38</v>
      </c>
      <c r="B59" s="54" t="s">
        <v>201</v>
      </c>
      <c r="C59" s="7">
        <f>C60</f>
        <v>0.97499999999999998</v>
      </c>
      <c r="D59" s="7">
        <f t="shared" ref="D59:J59" si="13">D60</f>
        <v>0.99</v>
      </c>
      <c r="E59" s="7">
        <f t="shared" si="13"/>
        <v>0.99</v>
      </c>
      <c r="F59" s="7">
        <f t="shared" si="13"/>
        <v>1</v>
      </c>
      <c r="G59" s="7">
        <f t="shared" si="13"/>
        <v>0.97499999999999998</v>
      </c>
      <c r="H59" s="7">
        <f t="shared" si="13"/>
        <v>0.99</v>
      </c>
      <c r="I59" s="7">
        <f t="shared" si="13"/>
        <v>0.99</v>
      </c>
      <c r="J59" s="7">
        <f t="shared" si="13"/>
        <v>1</v>
      </c>
      <c r="K59" s="7">
        <v>1</v>
      </c>
      <c r="L59" s="12">
        <f>L40</f>
        <v>1</v>
      </c>
      <c r="M59" t="s">
        <v>210</v>
      </c>
    </row>
    <row r="60" spans="1:14" x14ac:dyDescent="0.3">
      <c r="A60" s="55"/>
      <c r="B60" s="56" t="s">
        <v>188</v>
      </c>
      <c r="C60" s="4">
        <f>AVERAGE(C27,C40)</f>
        <v>0.97499999999999998</v>
      </c>
      <c r="D60" s="4">
        <f t="shared" ref="D60:J60" si="14">AVERAGE(D27,D40)</f>
        <v>0.99</v>
      </c>
      <c r="E60" s="4">
        <f t="shared" si="14"/>
        <v>0.99</v>
      </c>
      <c r="F60" s="4">
        <f t="shared" si="14"/>
        <v>1</v>
      </c>
      <c r="G60" s="4">
        <f t="shared" si="14"/>
        <v>0.97499999999999998</v>
      </c>
      <c r="H60" s="4">
        <f t="shared" si="14"/>
        <v>0.99</v>
      </c>
      <c r="I60" s="4">
        <f t="shared" si="14"/>
        <v>0.99</v>
      </c>
      <c r="J60" s="4">
        <f t="shared" si="14"/>
        <v>1</v>
      </c>
      <c r="K60" s="4">
        <v>1</v>
      </c>
      <c r="L60" s="29"/>
    </row>
    <row r="61" spans="1:14" x14ac:dyDescent="0.3">
      <c r="A61" s="59"/>
      <c r="B61" s="56" t="s">
        <v>202</v>
      </c>
      <c r="C61" s="4">
        <f>C60</f>
        <v>0.97499999999999998</v>
      </c>
      <c r="D61" s="4">
        <f t="shared" ref="D61:K61" si="15">D60</f>
        <v>0.99</v>
      </c>
      <c r="E61" s="4">
        <f t="shared" si="15"/>
        <v>0.99</v>
      </c>
      <c r="F61" s="4">
        <f t="shared" si="15"/>
        <v>1</v>
      </c>
      <c r="G61" s="4">
        <f t="shared" si="15"/>
        <v>0.97499999999999998</v>
      </c>
      <c r="H61" s="4">
        <f t="shared" si="15"/>
        <v>0.99</v>
      </c>
      <c r="I61" s="4">
        <f t="shared" si="15"/>
        <v>0.99</v>
      </c>
      <c r="J61" s="4">
        <f t="shared" si="15"/>
        <v>1</v>
      </c>
      <c r="K61" s="4">
        <f t="shared" si="15"/>
        <v>1</v>
      </c>
      <c r="L61" s="12">
        <f>L40</f>
        <v>1</v>
      </c>
      <c r="M61" s="2" t="s">
        <v>209</v>
      </c>
    </row>
    <row r="62" spans="1:14" x14ac:dyDescent="0.3">
      <c r="A62" s="59"/>
      <c r="B62" s="56" t="s">
        <v>226</v>
      </c>
      <c r="C62" s="4">
        <f>AVERAGE(C28,C42,C48)</f>
        <v>0.99333333333333329</v>
      </c>
      <c r="D62" s="4">
        <f t="shared" ref="D62:E62" si="16">AVERAGE(D28,D42,D48)</f>
        <v>0.98133333333333328</v>
      </c>
      <c r="E62" s="4">
        <f t="shared" si="16"/>
        <v>0.99233333333333329</v>
      </c>
      <c r="F62" s="4">
        <f>AVERAGE(F28,F42,F48)</f>
        <v>0.99233333333333329</v>
      </c>
      <c r="G62" s="4">
        <f>AVERAGE(G28,G42,G48)</f>
        <v>0.99333333333333329</v>
      </c>
      <c r="H62" s="4">
        <f t="shared" ref="H62:J62" si="17">AVERAGE(H28,H42,H48)</f>
        <v>0.98133333333333328</v>
      </c>
      <c r="I62" s="4">
        <f t="shared" si="17"/>
        <v>0.99233333333333329</v>
      </c>
      <c r="J62" s="4">
        <f t="shared" si="17"/>
        <v>0.99233333333333329</v>
      </c>
      <c r="K62" s="28"/>
      <c r="L62" s="29"/>
    </row>
    <row r="63" spans="1:14" x14ac:dyDescent="0.3">
      <c r="A63" s="59"/>
      <c r="B63" s="56" t="s">
        <v>86</v>
      </c>
      <c r="C63" s="4">
        <f>AVERAGE(C33)</f>
        <v>0.92</v>
      </c>
      <c r="D63" s="4">
        <f>AVERAGE(D33)</f>
        <v>0.92</v>
      </c>
      <c r="E63" s="4">
        <f>AVERAGE(E33)</f>
        <v>0.92</v>
      </c>
      <c r="F63" s="28"/>
      <c r="G63" s="4">
        <f>AVERAGE(G33)</f>
        <v>0.92</v>
      </c>
      <c r="H63" s="4">
        <f>AVERAGE(H33)</f>
        <v>0.92</v>
      </c>
      <c r="I63" s="4">
        <f>AVERAGE(I33)</f>
        <v>0.92</v>
      </c>
      <c r="J63" s="28"/>
      <c r="K63" s="28"/>
      <c r="L63" s="29"/>
    </row>
    <row r="64" spans="1:14" x14ac:dyDescent="0.3">
      <c r="A64" s="59"/>
      <c r="B64" s="56" t="s">
        <v>234</v>
      </c>
      <c r="C64" s="4">
        <f>C60</f>
        <v>0.97499999999999998</v>
      </c>
      <c r="D64" s="4">
        <f t="shared" ref="D64:J64" si="18">D60</f>
        <v>0.99</v>
      </c>
      <c r="E64" s="4">
        <f t="shared" si="18"/>
        <v>0.99</v>
      </c>
      <c r="F64" s="4">
        <f t="shared" si="18"/>
        <v>1</v>
      </c>
      <c r="G64" s="4">
        <f t="shared" si="18"/>
        <v>0.97499999999999998</v>
      </c>
      <c r="H64" s="4">
        <f t="shared" si="18"/>
        <v>0.99</v>
      </c>
      <c r="I64" s="4">
        <f t="shared" si="18"/>
        <v>0.99</v>
      </c>
      <c r="J64" s="4">
        <f t="shared" si="18"/>
        <v>1</v>
      </c>
      <c r="K64" s="28"/>
      <c r="L64" s="29"/>
      <c r="M64" s="2" t="s">
        <v>312</v>
      </c>
    </row>
    <row r="65" spans="1:13" x14ac:dyDescent="0.3">
      <c r="A65" s="59"/>
      <c r="B65" s="56" t="s">
        <v>229</v>
      </c>
      <c r="C65" s="4">
        <f>C60</f>
        <v>0.97499999999999998</v>
      </c>
      <c r="D65" s="4">
        <f t="shared" ref="D65:E65" si="19">D60</f>
        <v>0.99</v>
      </c>
      <c r="E65" s="4">
        <f t="shared" si="19"/>
        <v>0.99</v>
      </c>
      <c r="F65" s="28"/>
      <c r="G65" s="4">
        <f>G60</f>
        <v>0.97499999999999998</v>
      </c>
      <c r="H65" s="4">
        <f t="shared" ref="H65:I65" si="20">H60</f>
        <v>0.99</v>
      </c>
      <c r="I65" s="4">
        <f t="shared" si="20"/>
        <v>0.99</v>
      </c>
      <c r="J65" s="28"/>
      <c r="K65" s="28"/>
      <c r="L65" s="29"/>
      <c r="M65" s="2" t="s">
        <v>312</v>
      </c>
    </row>
    <row r="66" spans="1:13" x14ac:dyDescent="0.3">
      <c r="A66" s="59"/>
      <c r="B66" s="56" t="s">
        <v>227</v>
      </c>
      <c r="C66" s="4">
        <f>C60</f>
        <v>0.97499999999999998</v>
      </c>
      <c r="D66" s="4">
        <f t="shared" ref="D66:E66" si="21">D60</f>
        <v>0.99</v>
      </c>
      <c r="E66" s="4">
        <f t="shared" si="21"/>
        <v>0.99</v>
      </c>
      <c r="F66" s="28"/>
      <c r="G66" s="4">
        <f>G60</f>
        <v>0.97499999999999998</v>
      </c>
      <c r="H66" s="4">
        <f t="shared" ref="H66:I66" si="22">H60</f>
        <v>0.99</v>
      </c>
      <c r="I66" s="4">
        <f t="shared" si="22"/>
        <v>0.99</v>
      </c>
      <c r="J66" s="28"/>
      <c r="K66" s="28"/>
      <c r="L66" s="29"/>
      <c r="M66" s="2" t="s">
        <v>312</v>
      </c>
    </row>
    <row r="67" spans="1:13" x14ac:dyDescent="0.3">
      <c r="A67" s="59"/>
      <c r="B67" s="56" t="s">
        <v>235</v>
      </c>
      <c r="C67" s="4">
        <f>C60</f>
        <v>0.97499999999999998</v>
      </c>
      <c r="D67" s="4">
        <f t="shared" ref="D67:E67" si="23">D60</f>
        <v>0.99</v>
      </c>
      <c r="E67" s="4">
        <f t="shared" si="23"/>
        <v>0.99</v>
      </c>
      <c r="F67" s="28"/>
      <c r="G67" s="4">
        <f>G60</f>
        <v>0.97499999999999998</v>
      </c>
      <c r="H67" s="4">
        <f t="shared" ref="H67:I67" si="24">H60</f>
        <v>0.99</v>
      </c>
      <c r="I67" s="4">
        <f t="shared" si="24"/>
        <v>0.99</v>
      </c>
      <c r="J67" s="28"/>
      <c r="K67" s="28"/>
      <c r="L67" s="29"/>
      <c r="M67" s="2" t="s">
        <v>312</v>
      </c>
    </row>
    <row r="68" spans="1:13" x14ac:dyDescent="0.3">
      <c r="A68" s="59"/>
      <c r="B68" s="56" t="s">
        <v>189</v>
      </c>
      <c r="C68" s="4">
        <f>C30</f>
        <v>0.98</v>
      </c>
      <c r="D68" s="4">
        <f>D30</f>
        <v>0.99</v>
      </c>
      <c r="E68" s="28"/>
      <c r="F68" s="28"/>
      <c r="G68" s="4">
        <f>G30</f>
        <v>0.98</v>
      </c>
      <c r="H68" s="4">
        <f>H30</f>
        <v>0.99</v>
      </c>
      <c r="I68" s="28"/>
      <c r="J68" s="28"/>
      <c r="K68" s="28"/>
      <c r="L68" s="29"/>
    </row>
    <row r="69" spans="1:13" x14ac:dyDescent="0.3">
      <c r="A69" s="222"/>
      <c r="B69" s="58" t="s">
        <v>228</v>
      </c>
      <c r="C69" s="9">
        <f>C68</f>
        <v>0.98</v>
      </c>
      <c r="D69" s="9">
        <f>D68</f>
        <v>0.99</v>
      </c>
      <c r="E69" s="26"/>
      <c r="F69" s="26"/>
      <c r="G69" s="9">
        <f>G68</f>
        <v>0.98</v>
      </c>
      <c r="H69" s="9">
        <f>H68</f>
        <v>0.99</v>
      </c>
      <c r="I69" s="26"/>
      <c r="J69" s="26"/>
      <c r="K69" s="26"/>
      <c r="L69" s="27"/>
      <c r="M69" s="2" t="s">
        <v>230</v>
      </c>
    </row>
    <row r="70" spans="1:13" x14ac:dyDescent="0.3">
      <c r="A70" s="11"/>
    </row>
    <row r="71" spans="1:13" x14ac:dyDescent="0.3">
      <c r="A71" s="64"/>
      <c r="B71" t="s">
        <v>90</v>
      </c>
    </row>
    <row r="72" spans="1:13" x14ac:dyDescent="0.3">
      <c r="B72" t="s">
        <v>99</v>
      </c>
      <c r="C72" s="4"/>
      <c r="D72" s="4"/>
      <c r="E72" s="4"/>
      <c r="F72" s="4"/>
      <c r="G72" s="4"/>
      <c r="H72" s="4"/>
      <c r="I72" s="4"/>
      <c r="J72" s="4"/>
      <c r="K72" s="4"/>
      <c r="L72" s="4"/>
      <c r="M72" s="2"/>
    </row>
  </sheetData>
  <mergeCells count="9">
    <mergeCell ref="G24:L24"/>
    <mergeCell ref="G2:L2"/>
    <mergeCell ref="G50:L50"/>
    <mergeCell ref="C50:F50"/>
    <mergeCell ref="A1:B1"/>
    <mergeCell ref="A2:B2"/>
    <mergeCell ref="C2:F2"/>
    <mergeCell ref="A24:B24"/>
    <mergeCell ref="C24:F2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W115"/>
  <sheetViews>
    <sheetView zoomScale="80" zoomScaleNormal="80" workbookViewId="0">
      <selection activeCell="J22" sqref="J22"/>
    </sheetView>
  </sheetViews>
  <sheetFormatPr defaultRowHeight="14.4" x14ac:dyDescent="0.3"/>
  <cols>
    <col min="1" max="1" width="3.77734375" customWidth="1"/>
    <col min="2" max="2" width="2.77734375" customWidth="1"/>
    <col min="3" max="3" width="47.21875" customWidth="1"/>
    <col min="4" max="13" width="10.77734375" customWidth="1"/>
    <col min="14" max="14" width="18.77734375" customWidth="1"/>
    <col min="15" max="15" width="19.21875" customWidth="1"/>
    <col min="16" max="16" width="9.44140625" bestFit="1" customWidth="1"/>
    <col min="17" max="19" width="9.33203125" bestFit="1" customWidth="1"/>
    <col min="20" max="20" width="9.5546875" customWidth="1"/>
    <col min="21" max="23" width="9.33203125" bestFit="1" customWidth="1"/>
    <col min="24" max="24" width="10.33203125" bestFit="1" customWidth="1"/>
    <col min="25" max="25" width="10.33203125" customWidth="1"/>
    <col min="27" max="27" width="14.21875" customWidth="1"/>
    <col min="28" max="28" width="13.6640625" bestFit="1" customWidth="1"/>
    <col min="29" max="29" width="18.5546875" bestFit="1" customWidth="1"/>
    <col min="30" max="30" width="16.44140625" bestFit="1" customWidth="1"/>
    <col min="31" max="31" width="20.44140625" bestFit="1" customWidth="1"/>
  </cols>
  <sheetData>
    <row r="1" spans="1:26" ht="15" thickBot="1" x14ac:dyDescent="0.35">
      <c r="A1" s="89"/>
      <c r="B1" s="90"/>
      <c r="C1" s="90"/>
      <c r="D1" s="90"/>
      <c r="E1" s="90"/>
      <c r="F1" s="90"/>
      <c r="G1" s="90"/>
      <c r="H1" s="90"/>
      <c r="I1" s="90"/>
      <c r="J1" s="90"/>
      <c r="K1" s="90"/>
      <c r="L1" s="90"/>
      <c r="M1" s="90"/>
      <c r="N1" s="90"/>
      <c r="O1" s="90"/>
      <c r="P1" s="90"/>
      <c r="Q1" s="90"/>
      <c r="R1" s="90"/>
      <c r="S1" s="90"/>
      <c r="T1" s="90"/>
      <c r="U1" s="90"/>
      <c r="V1" s="90"/>
      <c r="W1" s="90"/>
      <c r="X1" s="90"/>
      <c r="Y1" s="90"/>
      <c r="Z1" s="91"/>
    </row>
    <row r="2" spans="1:26" ht="16.8" thickBot="1" x14ac:dyDescent="0.35">
      <c r="A2" s="92"/>
      <c r="B2" s="23"/>
      <c r="C2" s="353" t="s">
        <v>276</v>
      </c>
      <c r="D2" s="354"/>
      <c r="E2" s="354"/>
      <c r="F2" s="354"/>
      <c r="G2" s="354"/>
      <c r="H2" s="354"/>
      <c r="I2" s="354"/>
      <c r="J2" s="354"/>
      <c r="K2" s="354"/>
      <c r="L2" s="354"/>
      <c r="M2" s="354"/>
      <c r="N2" s="354"/>
      <c r="O2" s="354"/>
      <c r="P2" s="354"/>
      <c r="Q2" s="354"/>
      <c r="R2" s="354"/>
      <c r="S2" s="354"/>
      <c r="T2" s="354"/>
      <c r="U2" s="355"/>
      <c r="V2" s="23"/>
      <c r="W2" s="23"/>
      <c r="X2" s="23"/>
      <c r="Y2" s="23"/>
      <c r="Z2" s="93"/>
    </row>
    <row r="3" spans="1:26" ht="15" customHeight="1" x14ac:dyDescent="0.3">
      <c r="A3" s="92"/>
      <c r="B3" s="23"/>
      <c r="C3" s="94"/>
      <c r="D3" s="328" t="s">
        <v>11</v>
      </c>
      <c r="E3" s="329"/>
      <c r="F3" s="329"/>
      <c r="G3" s="356"/>
      <c r="H3" s="335" t="s">
        <v>12</v>
      </c>
      <c r="I3" s="336"/>
      <c r="J3" s="336"/>
      <c r="K3" s="336"/>
      <c r="L3" s="336"/>
      <c r="M3" s="366"/>
      <c r="N3" s="357" t="s">
        <v>159</v>
      </c>
      <c r="O3" s="358"/>
      <c r="P3" s="358"/>
      <c r="Q3" s="358"/>
      <c r="R3" s="358"/>
      <c r="S3" s="358"/>
      <c r="T3" s="358"/>
      <c r="U3" s="359"/>
      <c r="V3" s="23"/>
      <c r="W3" s="23"/>
      <c r="X3" s="23"/>
      <c r="Y3" s="23"/>
      <c r="Z3" s="93"/>
    </row>
    <row r="4" spans="1:26" ht="15" thickBot="1" x14ac:dyDescent="0.35">
      <c r="A4" s="92"/>
      <c r="B4" s="23"/>
      <c r="C4" s="95" t="s">
        <v>104</v>
      </c>
      <c r="D4" s="96" t="s">
        <v>0</v>
      </c>
      <c r="E4" s="96" t="s">
        <v>1</v>
      </c>
      <c r="F4" s="96" t="s">
        <v>2</v>
      </c>
      <c r="G4" s="96" t="s">
        <v>3</v>
      </c>
      <c r="H4" s="96" t="s">
        <v>0</v>
      </c>
      <c r="I4" s="96" t="s">
        <v>1</v>
      </c>
      <c r="J4" s="96" t="s">
        <v>2</v>
      </c>
      <c r="K4" s="96" t="s">
        <v>3</v>
      </c>
      <c r="L4" s="96" t="s">
        <v>4</v>
      </c>
      <c r="M4" s="97" t="s">
        <v>309</v>
      </c>
      <c r="N4" s="360"/>
      <c r="O4" s="361"/>
      <c r="P4" s="361"/>
      <c r="Q4" s="361"/>
      <c r="R4" s="361"/>
      <c r="S4" s="361"/>
      <c r="T4" s="361"/>
      <c r="U4" s="362"/>
      <c r="V4" s="23"/>
      <c r="W4" s="23"/>
      <c r="X4" s="23"/>
      <c r="Y4" s="23"/>
      <c r="Z4" s="93"/>
    </row>
    <row r="5" spans="1:26" x14ac:dyDescent="0.3">
      <c r="A5" s="92"/>
      <c r="B5" s="23"/>
      <c r="C5" s="98" t="s">
        <v>105</v>
      </c>
      <c r="M5" s="197"/>
      <c r="N5" s="363" t="s">
        <v>277</v>
      </c>
      <c r="O5" s="364"/>
      <c r="P5" s="364"/>
      <c r="Q5" s="364"/>
      <c r="R5" s="364"/>
      <c r="S5" s="364"/>
      <c r="T5" s="364"/>
      <c r="U5" s="365"/>
      <c r="V5" s="23"/>
      <c r="W5" s="23"/>
      <c r="X5" s="23"/>
      <c r="Y5" s="23"/>
      <c r="Z5" s="93"/>
    </row>
    <row r="6" spans="1:26" x14ac:dyDescent="0.3">
      <c r="A6" s="92"/>
      <c r="B6" s="23"/>
      <c r="C6" s="98" t="s">
        <v>106</v>
      </c>
      <c r="G6" s="42"/>
      <c r="K6" s="42"/>
      <c r="L6" s="42"/>
      <c r="M6" s="197"/>
      <c r="N6" s="350" t="s">
        <v>277</v>
      </c>
      <c r="O6" s="351"/>
      <c r="P6" s="351"/>
      <c r="Q6" s="351"/>
      <c r="R6" s="351"/>
      <c r="S6" s="351"/>
      <c r="T6" s="351"/>
      <c r="U6" s="352"/>
      <c r="V6" s="23"/>
      <c r="W6" s="23"/>
      <c r="X6" s="23"/>
      <c r="Y6" s="23"/>
      <c r="Z6" s="93"/>
    </row>
    <row r="7" spans="1:26" x14ac:dyDescent="0.3">
      <c r="A7" s="92"/>
      <c r="B7" s="23"/>
      <c r="C7" s="98" t="s">
        <v>107</v>
      </c>
      <c r="D7" s="4">
        <f>P104</f>
        <v>5.1017289418446685</v>
      </c>
      <c r="E7" s="4">
        <f t="shared" ref="E7:M7" si="0">Q104</f>
        <v>7.5204772060490948</v>
      </c>
      <c r="F7" s="4">
        <f t="shared" si="0"/>
        <v>8.5028994995731413</v>
      </c>
      <c r="G7" s="4">
        <f t="shared" si="0"/>
        <v>6.8559193556636826</v>
      </c>
      <c r="H7" s="4">
        <f t="shared" si="0"/>
        <v>5.1017289418446685</v>
      </c>
      <c r="I7" s="4">
        <f t="shared" si="0"/>
        <v>6.6572554003542894</v>
      </c>
      <c r="J7" s="4">
        <f t="shared" si="0"/>
        <v>8.5028994995731413</v>
      </c>
      <c r="K7" s="4">
        <f t="shared" si="0"/>
        <v>6.8559193556636826</v>
      </c>
      <c r="L7" s="4">
        <f t="shared" si="0"/>
        <v>9.8063015683082781</v>
      </c>
      <c r="M7" s="4">
        <f t="shared" si="0"/>
        <v>21.20121955063188</v>
      </c>
      <c r="N7" s="350"/>
      <c r="O7" s="351"/>
      <c r="P7" s="351"/>
      <c r="Q7" s="351"/>
      <c r="R7" s="351"/>
      <c r="S7" s="351"/>
      <c r="T7" s="351"/>
      <c r="U7" s="352"/>
      <c r="V7" s="23"/>
      <c r="W7" s="23"/>
      <c r="X7" s="23"/>
      <c r="Y7" s="23"/>
      <c r="Z7" s="93"/>
    </row>
    <row r="8" spans="1:26" x14ac:dyDescent="0.3">
      <c r="A8" s="92"/>
      <c r="B8" s="23"/>
      <c r="C8" s="98" t="s">
        <v>26</v>
      </c>
      <c r="D8" s="4">
        <f>P97</f>
        <v>2.7219565218574124</v>
      </c>
      <c r="E8" s="4">
        <f t="shared" ref="E8:M8" si="1">Q97</f>
        <v>7.9251818023858309</v>
      </c>
      <c r="F8" s="4">
        <f t="shared" si="1"/>
        <v>17.510796817689684</v>
      </c>
      <c r="G8" s="4">
        <f t="shared" si="1"/>
        <v>32.802884855680496</v>
      </c>
      <c r="H8" s="4">
        <f t="shared" si="1"/>
        <v>2.2605654143116065</v>
      </c>
      <c r="I8" s="4">
        <f t="shared" si="1"/>
        <v>7.2383364256691936</v>
      </c>
      <c r="J8" s="4">
        <f t="shared" si="1"/>
        <v>17.809253413835933</v>
      </c>
      <c r="K8" s="4">
        <f t="shared" si="1"/>
        <v>29.044072966874687</v>
      </c>
      <c r="L8" s="4">
        <f t="shared" si="1"/>
        <v>49.874747483179704</v>
      </c>
      <c r="M8" s="4">
        <f t="shared" si="1"/>
        <v>73.247170565444137</v>
      </c>
      <c r="N8" s="350"/>
      <c r="O8" s="351"/>
      <c r="P8" s="351"/>
      <c r="Q8" s="351"/>
      <c r="R8" s="351"/>
      <c r="S8" s="351"/>
      <c r="T8" s="351"/>
      <c r="U8" s="352"/>
      <c r="V8" s="23"/>
      <c r="W8" s="23"/>
      <c r="X8" s="23"/>
      <c r="Y8" s="23"/>
      <c r="Z8" s="93"/>
    </row>
    <row r="9" spans="1:26" x14ac:dyDescent="0.3">
      <c r="A9" s="92"/>
      <c r="B9" s="23"/>
      <c r="C9" s="198"/>
      <c r="D9" s="23"/>
      <c r="E9" s="23"/>
      <c r="F9" s="23"/>
      <c r="G9" s="23"/>
      <c r="H9" s="23"/>
      <c r="I9" s="23"/>
      <c r="J9" s="23"/>
      <c r="K9" s="23"/>
      <c r="L9" s="23"/>
      <c r="M9" s="93"/>
      <c r="N9" s="350"/>
      <c r="O9" s="351"/>
      <c r="P9" s="351"/>
      <c r="Q9" s="351"/>
      <c r="R9" s="351"/>
      <c r="S9" s="351"/>
      <c r="T9" s="351"/>
      <c r="U9" s="352"/>
      <c r="V9" s="23"/>
      <c r="W9" s="23"/>
      <c r="X9" s="23"/>
      <c r="Y9" s="23"/>
      <c r="Z9" s="93"/>
    </row>
    <row r="10" spans="1:26" x14ac:dyDescent="0.3">
      <c r="A10" s="92"/>
      <c r="B10" s="23"/>
      <c r="C10" s="100" t="s">
        <v>69</v>
      </c>
      <c r="D10" s="4">
        <f>P100</f>
        <v>17.131359193044087</v>
      </c>
      <c r="E10" s="4">
        <f>Q100</f>
        <v>18.585750260020433</v>
      </c>
      <c r="F10" s="4">
        <f>R100</f>
        <v>63.55840100711761</v>
      </c>
      <c r="G10" s="28"/>
      <c r="H10" s="4">
        <f>T100</f>
        <v>16.588862662169561</v>
      </c>
      <c r="I10" s="4">
        <f>U100</f>
        <v>18.120915310598075</v>
      </c>
      <c r="J10" s="4">
        <f>V100</f>
        <v>63.55840100711761</v>
      </c>
      <c r="K10" s="28"/>
      <c r="L10" s="28"/>
      <c r="M10" s="28"/>
      <c r="N10" s="350"/>
      <c r="O10" s="351"/>
      <c r="P10" s="351"/>
      <c r="Q10" s="351"/>
      <c r="R10" s="351"/>
      <c r="S10" s="351"/>
      <c r="T10" s="351"/>
      <c r="U10" s="352"/>
      <c r="V10" s="23"/>
      <c r="W10" s="23"/>
      <c r="X10" s="23"/>
      <c r="Y10" s="23"/>
      <c r="Z10" s="93"/>
    </row>
    <row r="11" spans="1:26" x14ac:dyDescent="0.3">
      <c r="A11" s="92"/>
      <c r="B11" s="23"/>
      <c r="C11" s="99" t="s">
        <v>108</v>
      </c>
      <c r="D11" s="4">
        <f>P100</f>
        <v>17.131359193044087</v>
      </c>
      <c r="E11" s="4">
        <f>Q100</f>
        <v>18.585750260020433</v>
      </c>
      <c r="F11" s="4">
        <f>R100</f>
        <v>63.55840100711761</v>
      </c>
      <c r="G11" s="28"/>
      <c r="H11" s="4">
        <f>T100</f>
        <v>16.588862662169561</v>
      </c>
      <c r="I11" s="4">
        <f>U100</f>
        <v>18.120915310598075</v>
      </c>
      <c r="J11" s="4">
        <f>V100</f>
        <v>63.55840100711761</v>
      </c>
      <c r="K11" s="28"/>
      <c r="L11" s="28"/>
      <c r="M11" s="28"/>
      <c r="N11" s="350" t="s">
        <v>304</v>
      </c>
      <c r="O11" s="351"/>
      <c r="P11" s="351"/>
      <c r="Q11" s="351"/>
      <c r="R11" s="351"/>
      <c r="S11" s="351"/>
      <c r="T11" s="351"/>
      <c r="U11" s="352"/>
      <c r="V11" s="23"/>
      <c r="W11" s="23"/>
      <c r="X11" s="23"/>
      <c r="Y11" s="23"/>
      <c r="Z11" s="93"/>
    </row>
    <row r="12" spans="1:26" x14ac:dyDescent="0.3">
      <c r="A12" s="92"/>
      <c r="B12" s="23"/>
      <c r="C12" s="100" t="s">
        <v>109</v>
      </c>
      <c r="D12" s="4">
        <f>P100</f>
        <v>17.131359193044087</v>
      </c>
      <c r="E12" s="4">
        <f>Q100</f>
        <v>18.585750260020433</v>
      </c>
      <c r="F12" s="4">
        <f>R100</f>
        <v>63.55840100711761</v>
      </c>
      <c r="G12" s="28"/>
      <c r="H12" s="4">
        <f>T100</f>
        <v>16.588862662169561</v>
      </c>
      <c r="I12" s="4">
        <f>U100</f>
        <v>18.120915310598075</v>
      </c>
      <c r="J12" s="4">
        <f>V100</f>
        <v>63.55840100711761</v>
      </c>
      <c r="K12" s="28"/>
      <c r="L12" s="28"/>
      <c r="M12" s="28"/>
      <c r="N12" s="350"/>
      <c r="O12" s="351"/>
      <c r="P12" s="351"/>
      <c r="Q12" s="351"/>
      <c r="R12" s="351"/>
      <c r="S12" s="351"/>
      <c r="T12" s="351"/>
      <c r="U12" s="352"/>
      <c r="V12" s="23"/>
      <c r="W12" s="23"/>
      <c r="X12" s="23"/>
      <c r="Y12" s="23"/>
      <c r="Z12" s="93"/>
    </row>
    <row r="13" spans="1:26" x14ac:dyDescent="0.3">
      <c r="A13" s="92"/>
      <c r="B13" s="23"/>
      <c r="C13" s="100" t="s">
        <v>7</v>
      </c>
      <c r="D13" s="4">
        <f>P99</f>
        <v>11.269578980515758</v>
      </c>
      <c r="E13" s="4">
        <f>Q99</f>
        <v>19.348696511852484</v>
      </c>
      <c r="F13" s="4">
        <f>R99</f>
        <v>46.692044024128542</v>
      </c>
      <c r="G13" s="28"/>
      <c r="H13" s="4">
        <f>T99</f>
        <v>9.5879295060091163</v>
      </c>
      <c r="I13" s="4">
        <f>U99</f>
        <v>17.057356783648718</v>
      </c>
      <c r="J13" s="4">
        <f>V99</f>
        <v>46.692044024128542</v>
      </c>
      <c r="K13" s="28"/>
      <c r="L13" s="28"/>
      <c r="M13" s="28"/>
      <c r="N13" s="350"/>
      <c r="O13" s="351"/>
      <c r="P13" s="351"/>
      <c r="Q13" s="351"/>
      <c r="R13" s="351"/>
      <c r="S13" s="351"/>
      <c r="T13" s="351"/>
      <c r="U13" s="352"/>
      <c r="V13" s="23"/>
      <c r="W13" s="23"/>
      <c r="X13" s="23"/>
      <c r="Y13" s="23"/>
      <c r="Z13" s="93"/>
    </row>
    <row r="14" spans="1:26" x14ac:dyDescent="0.3">
      <c r="A14" s="92"/>
      <c r="B14" s="23"/>
      <c r="C14" s="100" t="s">
        <v>8</v>
      </c>
      <c r="D14" s="4">
        <f>P98</f>
        <v>3.2088927840752652</v>
      </c>
      <c r="E14" s="4">
        <f t="shared" ref="E14:M14" si="2">Q98</f>
        <v>9.755493422273771</v>
      </c>
      <c r="F14" s="4">
        <f t="shared" si="2"/>
        <v>28.3206662402999</v>
      </c>
      <c r="G14" s="4">
        <f t="shared" si="2"/>
        <v>43.446326052799876</v>
      </c>
      <c r="H14" s="4">
        <f t="shared" si="2"/>
        <v>3.1844102304959483</v>
      </c>
      <c r="I14" s="4">
        <f t="shared" si="2"/>
        <v>9.8988858196785792</v>
      </c>
      <c r="J14" s="4">
        <f t="shared" si="2"/>
        <v>26.617961228475721</v>
      </c>
      <c r="K14" s="4">
        <f t="shared" si="2"/>
        <v>39.599782621726241</v>
      </c>
      <c r="L14" s="4">
        <f t="shared" si="2"/>
        <v>48.293014054499288</v>
      </c>
      <c r="M14" s="4">
        <f t="shared" si="2"/>
        <v>67.733242110609339</v>
      </c>
      <c r="N14" s="350"/>
      <c r="O14" s="351"/>
      <c r="P14" s="351"/>
      <c r="Q14" s="351"/>
      <c r="R14" s="351"/>
      <c r="S14" s="351"/>
      <c r="T14" s="351"/>
      <c r="U14" s="352"/>
      <c r="V14" s="23"/>
      <c r="W14" s="23"/>
      <c r="X14" s="23"/>
      <c r="Y14" s="23"/>
      <c r="Z14" s="93"/>
    </row>
    <row r="15" spans="1:26" x14ac:dyDescent="0.3">
      <c r="A15" s="92"/>
      <c r="B15" s="23"/>
      <c r="C15" s="199"/>
      <c r="D15" s="23"/>
      <c r="E15" s="23"/>
      <c r="F15" s="23"/>
      <c r="G15" s="23"/>
      <c r="H15" s="23"/>
      <c r="I15" s="23"/>
      <c r="J15" s="23"/>
      <c r="K15" s="23"/>
      <c r="L15" s="23"/>
      <c r="M15" s="93"/>
      <c r="N15" s="350"/>
      <c r="O15" s="351"/>
      <c r="P15" s="351"/>
      <c r="Q15" s="351"/>
      <c r="R15" s="351"/>
      <c r="S15" s="351"/>
      <c r="T15" s="351"/>
      <c r="U15" s="352"/>
      <c r="V15" s="23"/>
      <c r="W15" s="23"/>
      <c r="X15" s="23"/>
      <c r="Y15" s="23"/>
      <c r="Z15" s="93"/>
    </row>
    <row r="16" spans="1:26" x14ac:dyDescent="0.3">
      <c r="A16" s="92"/>
      <c r="B16" s="23"/>
      <c r="C16" s="100" t="s">
        <v>110</v>
      </c>
      <c r="D16" s="4">
        <f>P114</f>
        <v>33.135824983755676</v>
      </c>
      <c r="E16" s="4">
        <f>Q114</f>
        <v>38.335819767250783</v>
      </c>
      <c r="F16" s="4">
        <f>F17</f>
        <v>41.286773762652153</v>
      </c>
      <c r="G16" s="4">
        <f>G17</f>
        <v>63.745412209584828</v>
      </c>
      <c r="H16" s="4">
        <f t="shared" ref="H16:I16" si="3">T114</f>
        <v>31.159447204026637</v>
      </c>
      <c r="I16" s="4">
        <f t="shared" si="3"/>
        <v>41.560432192981295</v>
      </c>
      <c r="J16" s="4">
        <f>J17</f>
        <v>41.660749174956024</v>
      </c>
      <c r="K16" s="4">
        <f>K17</f>
        <v>61.073653484982181</v>
      </c>
      <c r="L16" s="28"/>
      <c r="M16" s="28"/>
      <c r="N16" s="350" t="s">
        <v>316</v>
      </c>
      <c r="O16" s="351"/>
      <c r="P16" s="351"/>
      <c r="Q16" s="351"/>
      <c r="R16" s="351"/>
      <c r="S16" s="351"/>
      <c r="T16" s="351"/>
      <c r="U16" s="352"/>
      <c r="V16" s="23"/>
      <c r="W16" s="23"/>
      <c r="X16" s="23"/>
      <c r="Y16" s="23"/>
      <c r="Z16" s="93"/>
    </row>
    <row r="17" spans="1:26" x14ac:dyDescent="0.3">
      <c r="A17" s="92"/>
      <c r="B17" s="23"/>
      <c r="C17" s="100" t="s">
        <v>111</v>
      </c>
      <c r="D17" s="4">
        <f>P106</f>
        <v>10.344004989934055</v>
      </c>
      <c r="E17" s="4">
        <f t="shared" ref="E17:L17" si="4">Q106</f>
        <v>29.721192581113403</v>
      </c>
      <c r="F17" s="4">
        <f t="shared" si="4"/>
        <v>41.286773762652153</v>
      </c>
      <c r="G17" s="4">
        <f t="shared" si="4"/>
        <v>63.745412209584828</v>
      </c>
      <c r="H17" s="4">
        <f t="shared" si="4"/>
        <v>14.045702153948987</v>
      </c>
      <c r="I17" s="4">
        <f t="shared" si="4"/>
        <v>27.191098446424341</v>
      </c>
      <c r="J17" s="4">
        <f t="shared" si="4"/>
        <v>41.660749174956024</v>
      </c>
      <c r="K17" s="4">
        <f t="shared" si="4"/>
        <v>61.073653484982181</v>
      </c>
      <c r="L17" s="4">
        <f t="shared" si="4"/>
        <v>87.356141880131617</v>
      </c>
      <c r="M17" s="28"/>
      <c r="N17" s="350"/>
      <c r="O17" s="351"/>
      <c r="P17" s="351"/>
      <c r="Q17" s="351"/>
      <c r="R17" s="351"/>
      <c r="S17" s="351"/>
      <c r="T17" s="351"/>
      <c r="U17" s="352"/>
      <c r="V17" s="23"/>
      <c r="W17" s="23"/>
      <c r="X17" s="23"/>
      <c r="Y17" s="23"/>
      <c r="Z17" s="93"/>
    </row>
    <row r="18" spans="1:26" x14ac:dyDescent="0.3">
      <c r="A18" s="92"/>
      <c r="B18" s="23"/>
      <c r="C18" s="100" t="s">
        <v>43</v>
      </c>
      <c r="D18" s="4">
        <f>P108</f>
        <v>8.3599442861436231</v>
      </c>
      <c r="E18" s="4">
        <f t="shared" ref="E18:J18" si="5">Q108</f>
        <v>17.464205239526205</v>
      </c>
      <c r="F18" s="4">
        <f t="shared" si="5"/>
        <v>19.364665249827276</v>
      </c>
      <c r="G18" s="28"/>
      <c r="H18" s="4">
        <f t="shared" si="5"/>
        <v>8.3599442861436231</v>
      </c>
      <c r="I18" s="4">
        <f t="shared" si="5"/>
        <v>17.464205239526205</v>
      </c>
      <c r="J18" s="4">
        <f t="shared" si="5"/>
        <v>19.364665249827276</v>
      </c>
      <c r="K18" s="28"/>
      <c r="L18" s="28"/>
      <c r="M18" s="28"/>
      <c r="N18" s="350"/>
      <c r="O18" s="351"/>
      <c r="P18" s="351"/>
      <c r="Q18" s="351"/>
      <c r="R18" s="351"/>
      <c r="S18" s="351"/>
      <c r="T18" s="351"/>
      <c r="U18" s="352"/>
      <c r="V18" s="23"/>
      <c r="W18" s="23"/>
      <c r="X18" s="23"/>
      <c r="Y18" s="23"/>
      <c r="Z18" s="93"/>
    </row>
    <row r="19" spans="1:26" x14ac:dyDescent="0.3">
      <c r="A19" s="92"/>
      <c r="B19" s="23"/>
      <c r="C19" s="100" t="s">
        <v>112</v>
      </c>
      <c r="D19" s="4">
        <f>P111</f>
        <v>32.220217904305898</v>
      </c>
      <c r="E19" s="4">
        <f t="shared" ref="E19:F19" si="6">Q111</f>
        <v>29.403500981618855</v>
      </c>
      <c r="F19" s="4">
        <f t="shared" si="6"/>
        <v>84.353651725320347</v>
      </c>
      <c r="G19" s="4">
        <f>G20</f>
        <v>32.919560891051276</v>
      </c>
      <c r="H19" s="4">
        <f>T111</f>
        <v>30.443277413381118</v>
      </c>
      <c r="I19" s="4">
        <f t="shared" ref="I19" si="7">U111</f>
        <v>34.946569969406319</v>
      </c>
      <c r="J19" s="4">
        <f t="shared" ref="J19" si="8">V111</f>
        <v>84.353651725320347</v>
      </c>
      <c r="K19" s="4">
        <f>K20</f>
        <v>32.919560891051276</v>
      </c>
      <c r="L19" s="28"/>
      <c r="M19" s="28"/>
      <c r="N19" s="350" t="s">
        <v>314</v>
      </c>
      <c r="O19" s="351"/>
      <c r="P19" s="351"/>
      <c r="Q19" s="351"/>
      <c r="R19" s="351"/>
      <c r="S19" s="351"/>
      <c r="T19" s="351"/>
      <c r="U19" s="352"/>
      <c r="V19" s="23"/>
      <c r="W19" s="23"/>
      <c r="X19" s="23"/>
      <c r="Y19" s="23"/>
      <c r="Z19" s="93"/>
    </row>
    <row r="20" spans="1:26" x14ac:dyDescent="0.3">
      <c r="A20" s="92"/>
      <c r="B20" s="23"/>
      <c r="C20" s="100" t="s">
        <v>27</v>
      </c>
      <c r="D20" s="4">
        <f>P105</f>
        <v>8.0118859723380069</v>
      </c>
      <c r="E20" s="4">
        <f t="shared" ref="E20:L20" si="9">Q105</f>
        <v>15.777757741523214</v>
      </c>
      <c r="F20" s="4">
        <f t="shared" si="9"/>
        <v>22.757375345493696</v>
      </c>
      <c r="G20" s="4">
        <f t="shared" si="9"/>
        <v>32.919560891051276</v>
      </c>
      <c r="H20" s="4">
        <f t="shared" si="9"/>
        <v>7.2287366146797307</v>
      </c>
      <c r="I20" s="4">
        <f t="shared" si="9"/>
        <v>13.686957455139083</v>
      </c>
      <c r="J20" s="4">
        <f t="shared" si="9"/>
        <v>24.825445876517421</v>
      </c>
      <c r="K20" s="4">
        <f t="shared" si="9"/>
        <v>32.919560891051276</v>
      </c>
      <c r="L20" s="4">
        <f t="shared" si="9"/>
        <v>46.61952943290526</v>
      </c>
      <c r="M20" s="28"/>
      <c r="N20" s="350"/>
      <c r="O20" s="351"/>
      <c r="P20" s="351"/>
      <c r="Q20" s="351"/>
      <c r="R20" s="351"/>
      <c r="S20" s="351"/>
      <c r="T20" s="351"/>
      <c r="U20" s="352"/>
      <c r="V20" s="23"/>
      <c r="W20" s="23"/>
      <c r="X20" s="23"/>
      <c r="Y20" s="23"/>
      <c r="Z20" s="93"/>
    </row>
    <row r="21" spans="1:26" x14ac:dyDescent="0.3">
      <c r="A21" s="92"/>
      <c r="B21" s="23"/>
      <c r="C21" s="100" t="s">
        <v>29</v>
      </c>
      <c r="D21" s="4">
        <f>P103</f>
        <v>5.8864257064231573</v>
      </c>
      <c r="E21" s="4">
        <f t="shared" ref="E21:M21" si="10">Q103</f>
        <v>27.591317164333805</v>
      </c>
      <c r="F21" s="4">
        <f t="shared" si="10"/>
        <v>22.579733807219171</v>
      </c>
      <c r="G21" s="4">
        <f t="shared" si="10"/>
        <v>34.376697750586999</v>
      </c>
      <c r="H21" s="4">
        <f t="shared" si="10"/>
        <v>5.3937905453909911</v>
      </c>
      <c r="I21" s="4">
        <f t="shared" si="10"/>
        <v>28.509176035051205</v>
      </c>
      <c r="J21" s="4">
        <f t="shared" si="10"/>
        <v>24.578587118081842</v>
      </c>
      <c r="K21" s="4">
        <f t="shared" si="10"/>
        <v>34.762237420801412</v>
      </c>
      <c r="L21" s="4">
        <f t="shared" si="10"/>
        <v>50.286854259249601</v>
      </c>
      <c r="M21" s="4">
        <f t="shared" si="10"/>
        <v>68.542817516003382</v>
      </c>
      <c r="N21" s="350"/>
      <c r="O21" s="351"/>
      <c r="P21" s="351"/>
      <c r="Q21" s="351"/>
      <c r="R21" s="351"/>
      <c r="S21" s="351"/>
      <c r="T21" s="351"/>
      <c r="U21" s="352"/>
      <c r="V21" s="23"/>
      <c r="W21" s="23"/>
      <c r="X21" s="23"/>
      <c r="Y21" s="23"/>
      <c r="Z21" s="93"/>
    </row>
    <row r="22" spans="1:26" x14ac:dyDescent="0.3">
      <c r="A22" s="92"/>
      <c r="B22" s="23"/>
      <c r="C22" s="100" t="s">
        <v>30</v>
      </c>
      <c r="D22" s="4">
        <f>P111</f>
        <v>32.220217904305898</v>
      </c>
      <c r="E22" s="4">
        <f t="shared" ref="E22:J22" si="11">Q111</f>
        <v>29.403500981618855</v>
      </c>
      <c r="F22" s="4">
        <f t="shared" si="11"/>
        <v>84.353651725320347</v>
      </c>
      <c r="G22" s="4">
        <f>G20</f>
        <v>32.919560891051276</v>
      </c>
      <c r="H22" s="4">
        <f t="shared" si="11"/>
        <v>30.443277413381118</v>
      </c>
      <c r="I22" s="4">
        <f t="shared" si="11"/>
        <v>34.946569969406319</v>
      </c>
      <c r="J22" s="4">
        <f t="shared" si="11"/>
        <v>84.353651725320347</v>
      </c>
      <c r="K22" s="4">
        <f>K20</f>
        <v>32.919560891051276</v>
      </c>
      <c r="L22" s="28"/>
      <c r="M22" s="28"/>
      <c r="N22" s="350" t="s">
        <v>314</v>
      </c>
      <c r="O22" s="351"/>
      <c r="P22" s="351"/>
      <c r="Q22" s="351"/>
      <c r="R22" s="351"/>
      <c r="S22" s="351"/>
      <c r="T22" s="351"/>
      <c r="U22" s="352"/>
      <c r="V22" s="23"/>
      <c r="W22" s="23"/>
      <c r="X22" s="23"/>
      <c r="Y22" s="23"/>
      <c r="Z22" s="93"/>
    </row>
    <row r="23" spans="1:26" x14ac:dyDescent="0.3">
      <c r="A23" s="92"/>
      <c r="B23" s="23"/>
      <c r="C23" s="100" t="s">
        <v>22</v>
      </c>
      <c r="D23" s="4">
        <f>P107</f>
        <v>6.2484217910958435</v>
      </c>
      <c r="E23" s="4">
        <f t="shared" ref="E23:K23" si="12">Q107</f>
        <v>20.955926895962268</v>
      </c>
      <c r="F23" s="4">
        <f t="shared" si="12"/>
        <v>38.153487902516858</v>
      </c>
      <c r="G23" s="4">
        <f t="shared" si="12"/>
        <v>38.33588395390354</v>
      </c>
      <c r="H23" s="4">
        <f t="shared" si="12"/>
        <v>5.2711896131334273</v>
      </c>
      <c r="I23" s="4">
        <f t="shared" si="12"/>
        <v>17.796249865467423</v>
      </c>
      <c r="J23" s="4">
        <f t="shared" si="12"/>
        <v>33.491447856789932</v>
      </c>
      <c r="K23" s="4">
        <f t="shared" si="12"/>
        <v>30.878463391069914</v>
      </c>
      <c r="L23" s="28"/>
      <c r="M23" s="28"/>
      <c r="N23" s="350"/>
      <c r="O23" s="351"/>
      <c r="P23" s="351"/>
      <c r="Q23" s="351"/>
      <c r="R23" s="351"/>
      <c r="S23" s="351"/>
      <c r="T23" s="351"/>
      <c r="U23" s="352"/>
      <c r="V23" s="23"/>
      <c r="W23" s="23"/>
      <c r="X23" s="23"/>
      <c r="Y23" s="23"/>
      <c r="Z23" s="93"/>
    </row>
    <row r="24" spans="1:26" x14ac:dyDescent="0.3">
      <c r="A24" s="92"/>
      <c r="B24" s="23"/>
      <c r="C24" s="100" t="s">
        <v>133</v>
      </c>
      <c r="D24" s="4">
        <f>P106</f>
        <v>10.344004989934055</v>
      </c>
      <c r="E24" s="4">
        <f t="shared" ref="E24:M24" si="13">Q106</f>
        <v>29.721192581113403</v>
      </c>
      <c r="F24" s="4">
        <f t="shared" si="13"/>
        <v>41.286773762652153</v>
      </c>
      <c r="G24" s="4">
        <f t="shared" si="13"/>
        <v>63.745412209584828</v>
      </c>
      <c r="H24" s="4">
        <f t="shared" si="13"/>
        <v>14.045702153948987</v>
      </c>
      <c r="I24" s="4">
        <f t="shared" si="13"/>
        <v>27.191098446424341</v>
      </c>
      <c r="J24" s="4">
        <f t="shared" si="13"/>
        <v>41.660749174956024</v>
      </c>
      <c r="K24" s="4">
        <f t="shared" si="13"/>
        <v>61.073653484982181</v>
      </c>
      <c r="L24" s="4">
        <f t="shared" si="13"/>
        <v>87.356141880131617</v>
      </c>
      <c r="M24" s="4">
        <f t="shared" si="13"/>
        <v>188.86393919214581</v>
      </c>
      <c r="N24" s="350"/>
      <c r="O24" s="351"/>
      <c r="P24" s="351"/>
      <c r="Q24" s="351"/>
      <c r="R24" s="351"/>
      <c r="S24" s="351"/>
      <c r="T24" s="351"/>
      <c r="U24" s="352"/>
      <c r="V24" s="23"/>
      <c r="W24" s="23"/>
      <c r="X24" s="23"/>
      <c r="Y24" s="23"/>
      <c r="Z24" s="93"/>
    </row>
    <row r="25" spans="1:26" x14ac:dyDescent="0.3">
      <c r="A25" s="92"/>
      <c r="B25" s="23"/>
      <c r="C25" s="100" t="s">
        <v>28</v>
      </c>
      <c r="D25" s="4">
        <f>P113</f>
        <v>3.8649082708176192</v>
      </c>
      <c r="E25" s="4">
        <f t="shared" ref="E25:I25" si="14">Q113</f>
        <v>12.25890039028579</v>
      </c>
      <c r="F25" s="28"/>
      <c r="G25" s="28"/>
      <c r="H25" s="4">
        <f t="shared" si="14"/>
        <v>3.5886227074293133</v>
      </c>
      <c r="I25" s="4">
        <f t="shared" si="14"/>
        <v>11.687213041145235</v>
      </c>
      <c r="J25" s="28"/>
      <c r="K25" s="28"/>
      <c r="L25" s="28"/>
      <c r="M25" s="28"/>
      <c r="N25" s="350"/>
      <c r="O25" s="351"/>
      <c r="P25" s="351"/>
      <c r="Q25" s="351"/>
      <c r="R25" s="351"/>
      <c r="S25" s="351"/>
      <c r="T25" s="351"/>
      <c r="U25" s="352"/>
      <c r="V25" s="23"/>
      <c r="W25" s="23"/>
      <c r="X25" s="23"/>
      <c r="Y25" s="23"/>
      <c r="Z25" s="93"/>
    </row>
    <row r="26" spans="1:26" x14ac:dyDescent="0.3">
      <c r="A26" s="92"/>
      <c r="B26" s="23"/>
      <c r="C26" s="100" t="s">
        <v>17</v>
      </c>
      <c r="D26" s="4">
        <f>P102</f>
        <v>7.2077211688038787</v>
      </c>
      <c r="E26" s="4">
        <f t="shared" ref="E26:M26" si="15">Q102</f>
        <v>13.649239065016765</v>
      </c>
      <c r="F26" s="4">
        <f t="shared" si="15"/>
        <v>23.022403803062179</v>
      </c>
      <c r="G26" s="4">
        <f t="shared" si="15"/>
        <v>34.513763410560578</v>
      </c>
      <c r="H26" s="4">
        <f t="shared" si="15"/>
        <v>7.0439345603158436</v>
      </c>
      <c r="I26" s="4">
        <f t="shared" si="15"/>
        <v>13.789089472511867</v>
      </c>
      <c r="J26" s="4">
        <f t="shared" si="15"/>
        <v>24.220271302731458</v>
      </c>
      <c r="K26" s="4">
        <f t="shared" si="15"/>
        <v>32.363195699162098</v>
      </c>
      <c r="L26" s="4">
        <f t="shared" si="15"/>
        <v>40.693769659832746</v>
      </c>
      <c r="M26" s="4">
        <f t="shared" si="15"/>
        <v>54.727205250472068</v>
      </c>
      <c r="N26" s="350"/>
      <c r="O26" s="351"/>
      <c r="P26" s="351"/>
      <c r="Q26" s="351"/>
      <c r="R26" s="351"/>
      <c r="S26" s="351"/>
      <c r="T26" s="351"/>
      <c r="U26" s="352"/>
      <c r="V26" s="23"/>
      <c r="W26" s="23"/>
      <c r="X26" s="23"/>
      <c r="Y26" s="23"/>
      <c r="Z26" s="93"/>
    </row>
    <row r="27" spans="1:26" x14ac:dyDescent="0.3">
      <c r="A27" s="92"/>
      <c r="B27" s="23"/>
      <c r="C27" s="100" t="s">
        <v>113</v>
      </c>
      <c r="D27" s="4">
        <f>P110</f>
        <v>7.1159360581087139</v>
      </c>
      <c r="E27" s="4">
        <f t="shared" ref="E27:J27" si="16">Q110</f>
        <v>17.447293967904596</v>
      </c>
      <c r="F27" s="4">
        <f t="shared" si="16"/>
        <v>19.14925134975077</v>
      </c>
      <c r="G27" s="28"/>
      <c r="H27" s="4">
        <f t="shared" si="16"/>
        <v>6.5931002513999992</v>
      </c>
      <c r="I27" s="4">
        <f t="shared" si="16"/>
        <v>16.861958030029815</v>
      </c>
      <c r="J27" s="4">
        <f t="shared" si="16"/>
        <v>19.14925134975077</v>
      </c>
      <c r="K27" s="4">
        <f>K20</f>
        <v>32.919560891051276</v>
      </c>
      <c r="L27" s="28"/>
      <c r="M27" s="28"/>
      <c r="N27" s="350" t="s">
        <v>314</v>
      </c>
      <c r="O27" s="351"/>
      <c r="P27" s="351"/>
      <c r="Q27" s="351"/>
      <c r="R27" s="351"/>
      <c r="S27" s="351"/>
      <c r="T27" s="351"/>
      <c r="U27" s="352"/>
      <c r="V27" s="23"/>
      <c r="W27" s="23"/>
      <c r="X27" s="23"/>
      <c r="Y27" s="23"/>
      <c r="Z27" s="93"/>
    </row>
    <row r="28" spans="1:26" x14ac:dyDescent="0.3">
      <c r="A28" s="92"/>
      <c r="B28" s="23"/>
      <c r="C28" s="100" t="s">
        <v>114</v>
      </c>
      <c r="D28" s="4">
        <f>P112</f>
        <v>17.164609047020729</v>
      </c>
      <c r="E28" s="4">
        <f t="shared" ref="E28:J28" si="17">Q112</f>
        <v>27.557323680159918</v>
      </c>
      <c r="F28" s="4">
        <f t="shared" si="17"/>
        <v>79.342378721429426</v>
      </c>
      <c r="G28" s="4">
        <f>G20</f>
        <v>32.919560891051276</v>
      </c>
      <c r="H28" s="4">
        <f t="shared" si="17"/>
        <v>16.188273763330987</v>
      </c>
      <c r="I28" s="4">
        <f t="shared" si="17"/>
        <v>23.957659431553335</v>
      </c>
      <c r="J28" s="4">
        <f t="shared" si="17"/>
        <v>79.981905388797756</v>
      </c>
      <c r="K28" s="28"/>
      <c r="L28" s="28"/>
      <c r="M28" s="28"/>
      <c r="N28" s="350"/>
      <c r="O28" s="351"/>
      <c r="P28" s="351"/>
      <c r="Q28" s="351"/>
      <c r="R28" s="351"/>
      <c r="S28" s="351"/>
      <c r="T28" s="351"/>
      <c r="U28" s="352"/>
      <c r="V28" s="23"/>
      <c r="W28" s="23"/>
      <c r="X28" s="23"/>
      <c r="Y28" s="23"/>
      <c r="Z28" s="93"/>
    </row>
    <row r="29" spans="1:26" x14ac:dyDescent="0.3">
      <c r="A29" s="92"/>
      <c r="B29" s="23"/>
      <c r="C29" s="100" t="s">
        <v>115</v>
      </c>
      <c r="D29" s="4">
        <f>P109</f>
        <v>9.008648019074931</v>
      </c>
      <c r="E29" s="4">
        <f t="shared" ref="E29:G29" si="18">Q109</f>
        <v>20.953428778301479</v>
      </c>
      <c r="F29" s="4">
        <f t="shared" si="18"/>
        <v>28.655650537249024</v>
      </c>
      <c r="G29" s="4">
        <f t="shared" si="18"/>
        <v>29.253297823772172</v>
      </c>
      <c r="H29" s="4">
        <f t="shared" ref="H29:K29" si="19">T109</f>
        <v>9.0472558471995352</v>
      </c>
      <c r="I29" s="4">
        <f t="shared" si="19"/>
        <v>20.991385190080116</v>
      </c>
      <c r="J29" s="4">
        <f t="shared" si="19"/>
        <v>28.086132603163183</v>
      </c>
      <c r="K29" s="4">
        <f t="shared" si="19"/>
        <v>28.636321496674508</v>
      </c>
      <c r="L29" s="28"/>
      <c r="M29" s="28"/>
      <c r="N29" s="350"/>
      <c r="O29" s="351"/>
      <c r="P29" s="351"/>
      <c r="Q29" s="351"/>
      <c r="R29" s="351"/>
      <c r="S29" s="351"/>
      <c r="T29" s="351"/>
      <c r="U29" s="352"/>
      <c r="V29" s="23"/>
      <c r="W29" s="23"/>
      <c r="X29" s="23"/>
      <c r="Y29" s="23"/>
      <c r="Z29" s="93"/>
    </row>
    <row r="30" spans="1:26" ht="15" thickBot="1" x14ac:dyDescent="0.35">
      <c r="A30" s="92"/>
      <c r="B30" s="23"/>
      <c r="C30" s="101" t="s">
        <v>116</v>
      </c>
      <c r="D30" s="124">
        <f>P114</f>
        <v>33.135824983755676</v>
      </c>
      <c r="E30" s="124">
        <f t="shared" ref="E30:I30" si="20">Q114</f>
        <v>38.335819767250783</v>
      </c>
      <c r="F30" s="124">
        <f>F20</f>
        <v>22.757375345493696</v>
      </c>
      <c r="G30" s="124">
        <f>G20</f>
        <v>32.919560891051276</v>
      </c>
      <c r="H30" s="124">
        <f t="shared" si="20"/>
        <v>31.159447204026637</v>
      </c>
      <c r="I30" s="124">
        <f t="shared" si="20"/>
        <v>41.560432192981295</v>
      </c>
      <c r="J30" s="124">
        <f>J20</f>
        <v>24.825445876517421</v>
      </c>
      <c r="K30" s="124">
        <f>K20</f>
        <v>32.919560891051276</v>
      </c>
      <c r="L30" s="125"/>
      <c r="M30" s="125"/>
      <c r="N30" s="347" t="s">
        <v>313</v>
      </c>
      <c r="O30" s="348"/>
      <c r="P30" s="348"/>
      <c r="Q30" s="348"/>
      <c r="R30" s="348"/>
      <c r="S30" s="348"/>
      <c r="T30" s="348"/>
      <c r="U30" s="349"/>
      <c r="V30" s="23"/>
      <c r="W30" s="23"/>
      <c r="X30" s="23"/>
      <c r="Y30" s="23"/>
      <c r="Z30" s="93"/>
    </row>
    <row r="31" spans="1:26" ht="15" thickBot="1" x14ac:dyDescent="0.35">
      <c r="A31" s="92"/>
      <c r="B31" s="23"/>
      <c r="C31" s="23"/>
      <c r="D31" s="23"/>
      <c r="E31" s="23"/>
      <c r="F31" s="23"/>
      <c r="G31" s="23"/>
      <c r="H31" s="23"/>
      <c r="I31" s="23"/>
      <c r="J31" s="23"/>
      <c r="K31" s="23"/>
      <c r="L31" s="23"/>
      <c r="M31" s="23"/>
      <c r="N31" s="23"/>
      <c r="O31" s="23"/>
      <c r="P31" s="23"/>
      <c r="Q31" s="23"/>
      <c r="R31" s="23"/>
      <c r="S31" s="23"/>
      <c r="T31" s="23"/>
      <c r="U31" s="23"/>
      <c r="V31" s="23"/>
      <c r="W31" s="23"/>
      <c r="X31" s="23"/>
      <c r="Y31" s="23"/>
      <c r="Z31" s="93"/>
    </row>
    <row r="32" spans="1:26" ht="15" thickBot="1" x14ac:dyDescent="0.35">
      <c r="A32" s="92"/>
      <c r="B32" s="23"/>
      <c r="C32" s="344" t="s">
        <v>256</v>
      </c>
      <c r="D32" s="336" t="s">
        <v>11</v>
      </c>
      <c r="E32" s="336"/>
      <c r="F32" s="336"/>
      <c r="G32" s="337"/>
      <c r="H32" s="328" t="s">
        <v>12</v>
      </c>
      <c r="I32" s="329"/>
      <c r="J32" s="329"/>
      <c r="K32" s="329"/>
      <c r="L32" s="329"/>
      <c r="M32" s="330"/>
      <c r="N32" s="23"/>
      <c r="O32" s="23"/>
      <c r="P32" s="23"/>
      <c r="Q32" s="23"/>
      <c r="R32" s="23"/>
      <c r="S32" s="23"/>
      <c r="T32" s="23"/>
      <c r="U32" s="23"/>
      <c r="V32" s="23"/>
      <c r="W32" s="23"/>
      <c r="X32" s="23"/>
      <c r="Y32" s="23"/>
      <c r="Z32" s="93"/>
    </row>
    <row r="33" spans="1:49" x14ac:dyDescent="0.3">
      <c r="A33" s="92"/>
      <c r="B33" s="23"/>
      <c r="C33" s="345"/>
      <c r="D33" s="102" t="s">
        <v>0</v>
      </c>
      <c r="E33" s="102" t="s">
        <v>1</v>
      </c>
      <c r="F33" s="102" t="s">
        <v>2</v>
      </c>
      <c r="G33" s="103" t="s">
        <v>3</v>
      </c>
      <c r="H33" s="104" t="s">
        <v>0</v>
      </c>
      <c r="I33" s="104" t="s">
        <v>1</v>
      </c>
      <c r="J33" s="104" t="s">
        <v>2</v>
      </c>
      <c r="K33" s="104" t="s">
        <v>3</v>
      </c>
      <c r="L33" s="104" t="s">
        <v>4</v>
      </c>
      <c r="M33" s="105" t="s">
        <v>309</v>
      </c>
      <c r="N33" s="23"/>
      <c r="O33" s="338" t="s">
        <v>117</v>
      </c>
      <c r="P33" s="339"/>
      <c r="Q33" s="339"/>
      <c r="R33" s="339"/>
      <c r="S33" s="339"/>
      <c r="T33" s="339"/>
      <c r="U33" s="339"/>
      <c r="V33" s="339"/>
      <c r="W33" s="339"/>
      <c r="X33" s="339"/>
      <c r="Y33" s="340"/>
      <c r="Z33" s="93"/>
    </row>
    <row r="34" spans="1:49" ht="15.75" customHeight="1" thickBot="1" x14ac:dyDescent="0.35">
      <c r="A34" s="106"/>
      <c r="B34" s="326" t="s">
        <v>118</v>
      </c>
      <c r="C34" s="131" t="s">
        <v>63</v>
      </c>
      <c r="D34" s="132">
        <f>'Proportion bites on turf'!C52</f>
        <v>0.71</v>
      </c>
      <c r="E34" s="7">
        <f>'Proportion bites on turf'!D52</f>
        <v>0.71</v>
      </c>
      <c r="F34" s="7">
        <f>'Proportion bites on turf'!E52</f>
        <v>0.71</v>
      </c>
      <c r="G34" s="7">
        <f>'Proportion bites on turf'!F52</f>
        <v>0.71</v>
      </c>
      <c r="H34" s="7">
        <f>'Proportion bites on turf'!G52</f>
        <v>0.71</v>
      </c>
      <c r="I34" s="7">
        <f>'Proportion bites on turf'!H52</f>
        <v>0.71</v>
      </c>
      <c r="J34" s="7">
        <f>'Proportion bites on turf'!I52</f>
        <v>0.71</v>
      </c>
      <c r="K34" s="7">
        <f>'Proportion bites on turf'!J52</f>
        <v>0.71</v>
      </c>
      <c r="L34" s="7">
        <f>'Proportion bites on turf'!K52</f>
        <v>0.71</v>
      </c>
      <c r="M34" s="107">
        <f>'Proportion bites on turf'!L52</f>
        <v>0.71</v>
      </c>
      <c r="N34" s="23"/>
      <c r="O34" s="341" t="s">
        <v>315</v>
      </c>
      <c r="P34" s="342"/>
      <c r="Q34" s="342"/>
      <c r="R34" s="342"/>
      <c r="S34" s="342"/>
      <c r="T34" s="342"/>
      <c r="U34" s="342"/>
      <c r="V34" s="342"/>
      <c r="W34" s="342"/>
      <c r="X34" s="342"/>
      <c r="Y34" s="343"/>
      <c r="Z34" s="93"/>
    </row>
    <row r="35" spans="1:49" ht="14.55" customHeight="1" x14ac:dyDescent="0.3">
      <c r="A35" s="106"/>
      <c r="B35" s="326"/>
      <c r="C35" s="134" t="s">
        <v>51</v>
      </c>
      <c r="D35" s="135">
        <f>'Proportion bites on turf'!C53</f>
        <v>0.89450000000000007</v>
      </c>
      <c r="E35" s="4">
        <f>'Proportion bites on turf'!D53</f>
        <v>0.91500000000000004</v>
      </c>
      <c r="F35" s="4">
        <f>'Proportion bites on turf'!E53</f>
        <v>0.89250000000000007</v>
      </c>
      <c r="G35" s="4">
        <f>'Proportion bites on turf'!F53</f>
        <v>0.89250000000000007</v>
      </c>
      <c r="H35" s="4">
        <f>'Proportion bites on turf'!G53</f>
        <v>0.89450000000000007</v>
      </c>
      <c r="I35" s="4">
        <f>'Proportion bites on turf'!H53</f>
        <v>0.91500000000000004</v>
      </c>
      <c r="J35" s="4">
        <f>'Proportion bites on turf'!I53</f>
        <v>0.89250000000000007</v>
      </c>
      <c r="K35" s="4">
        <f>'Proportion bites on turf'!J53</f>
        <v>0.89250000000000007</v>
      </c>
      <c r="L35" s="4">
        <f>'Proportion bites on turf'!K53</f>
        <v>0.89</v>
      </c>
      <c r="M35" s="108">
        <f>'Proportion bites on turf'!L53</f>
        <v>0.89</v>
      </c>
      <c r="N35" s="23"/>
      <c r="O35" s="23"/>
      <c r="P35" s="23"/>
      <c r="Q35" s="23"/>
      <c r="R35" s="23"/>
      <c r="S35" s="23"/>
      <c r="T35" s="23"/>
      <c r="U35" s="23"/>
      <c r="V35" s="23"/>
      <c r="W35" s="23"/>
      <c r="X35" s="23"/>
      <c r="Y35" s="23"/>
      <c r="Z35" s="93"/>
    </row>
    <row r="36" spans="1:49" ht="15" customHeight="1" thickBot="1" x14ac:dyDescent="0.35">
      <c r="A36" s="23"/>
      <c r="B36" s="326"/>
      <c r="C36" s="134" t="s">
        <v>232</v>
      </c>
      <c r="D36" s="135">
        <f>'Proportion bites on turf'!C54</f>
        <v>0.94574999999999998</v>
      </c>
      <c r="E36" s="4">
        <f>'Proportion bites on turf'!D54</f>
        <v>0.97100000000000009</v>
      </c>
      <c r="F36" s="4">
        <f>'Proportion bites on turf'!E54</f>
        <v>0.99266666666666659</v>
      </c>
      <c r="G36" s="28"/>
      <c r="H36" s="4">
        <f>'Proportion bites on turf'!G54</f>
        <v>0.94574999999999998</v>
      </c>
      <c r="I36" s="4">
        <f>'Proportion bites on turf'!H54</f>
        <v>0.97100000000000009</v>
      </c>
      <c r="J36" s="4">
        <f>'Proportion bites on turf'!I54</f>
        <v>0.99266666666666659</v>
      </c>
      <c r="K36" s="28"/>
      <c r="L36" s="28"/>
      <c r="M36" s="109"/>
      <c r="N36" s="23"/>
      <c r="O36" s="23"/>
      <c r="P36" s="110" t="s">
        <v>121</v>
      </c>
      <c r="Q36" s="110"/>
      <c r="R36" s="110"/>
      <c r="S36" s="110"/>
      <c r="T36" s="110"/>
      <c r="U36" s="23"/>
      <c r="V36" s="23"/>
      <c r="W36" s="23"/>
      <c r="X36" s="23"/>
      <c r="Y36" s="23"/>
      <c r="Z36" s="93"/>
    </row>
    <row r="37" spans="1:49" x14ac:dyDescent="0.3">
      <c r="A37" s="327" t="s">
        <v>119</v>
      </c>
      <c r="B37" s="326"/>
      <c r="C37" s="134" t="s">
        <v>205</v>
      </c>
      <c r="D37" s="135">
        <f>'Proportion bites on turf'!C55</f>
        <v>0.94574999999999998</v>
      </c>
      <c r="E37" s="4">
        <f>'Proportion bites on turf'!D55</f>
        <v>0.97100000000000009</v>
      </c>
      <c r="F37" s="4">
        <f>'Proportion bites on turf'!E55</f>
        <v>0.99266666666666659</v>
      </c>
      <c r="G37" s="28"/>
      <c r="H37" s="4">
        <f>'Proportion bites on turf'!G55</f>
        <v>0.94574999999999998</v>
      </c>
      <c r="I37" s="4">
        <f>'Proportion bites on turf'!H55</f>
        <v>0.97100000000000009</v>
      </c>
      <c r="J37" s="4">
        <f>'Proportion bites on turf'!I55</f>
        <v>0.99266666666666659</v>
      </c>
      <c r="K37" s="28"/>
      <c r="L37" s="28"/>
      <c r="M37" s="109"/>
      <c r="N37" s="23"/>
      <c r="O37" s="117"/>
      <c r="P37" s="268" t="s">
        <v>123</v>
      </c>
      <c r="Q37" s="269"/>
      <c r="R37" s="269"/>
      <c r="S37" s="269"/>
      <c r="T37" s="123">
        <v>83.25</v>
      </c>
      <c r="U37" s="23"/>
      <c r="V37" s="23"/>
      <c r="W37" s="23"/>
      <c r="X37" s="23"/>
      <c r="Y37" s="23"/>
      <c r="Z37" s="93"/>
    </row>
    <row r="38" spans="1:49" ht="15.75" customHeight="1" thickBot="1" x14ac:dyDescent="0.35">
      <c r="A38" s="327"/>
      <c r="B38" s="326"/>
      <c r="C38" s="134" t="s">
        <v>48</v>
      </c>
      <c r="D38" s="135">
        <f>'Proportion bites on turf'!C56</f>
        <v>0.61</v>
      </c>
      <c r="E38" s="4">
        <f>'Proportion bites on turf'!D56</f>
        <v>0.61</v>
      </c>
      <c r="F38" s="4">
        <f>'Proportion bites on turf'!E56</f>
        <v>0.61</v>
      </c>
      <c r="G38" s="4">
        <f>'Proportion bites on turf'!F56</f>
        <v>0.61</v>
      </c>
      <c r="H38" s="4">
        <f>'Proportion bites on turf'!G56</f>
        <v>0.61</v>
      </c>
      <c r="I38" s="4">
        <f>'Proportion bites on turf'!H56</f>
        <v>0.61</v>
      </c>
      <c r="J38" s="4">
        <f>'Proportion bites on turf'!I56</f>
        <v>0.61</v>
      </c>
      <c r="K38" s="4">
        <f>'Proportion bites on turf'!J56</f>
        <v>0.61</v>
      </c>
      <c r="L38" s="4">
        <f>'Proportion bites on turf'!K56</f>
        <v>0.61</v>
      </c>
      <c r="M38" s="109"/>
      <c r="N38" s="110"/>
      <c r="O38" s="120"/>
      <c r="P38" s="270" t="s">
        <v>124</v>
      </c>
      <c r="Q38" s="271"/>
      <c r="R38" s="271"/>
      <c r="S38" s="271"/>
      <c r="T38" s="127">
        <v>87.7</v>
      </c>
      <c r="U38" s="110"/>
      <c r="V38" s="23"/>
      <c r="W38" s="23"/>
      <c r="X38" s="23"/>
      <c r="Y38" s="23"/>
      <c r="Z38" s="93"/>
      <c r="AL38" s="346"/>
      <c r="AM38" s="346"/>
      <c r="AN38" s="346"/>
      <c r="AO38" s="346"/>
      <c r="AP38" s="346"/>
      <c r="AQ38" s="346"/>
      <c r="AR38" s="346"/>
    </row>
    <row r="39" spans="1:49" x14ac:dyDescent="0.3">
      <c r="A39" s="327"/>
      <c r="B39" s="110"/>
      <c r="C39" s="131" t="s">
        <v>17</v>
      </c>
      <c r="D39" s="132">
        <f>'Proportion bites on turf'!C57</f>
        <v>0.77</v>
      </c>
      <c r="E39" s="7">
        <f>'Proportion bites on turf'!D57</f>
        <v>0.77</v>
      </c>
      <c r="F39" s="7">
        <f>'Proportion bites on turf'!E57</f>
        <v>0.77</v>
      </c>
      <c r="G39" s="7">
        <f>'Proportion bites on turf'!F57</f>
        <v>0.77500000000000002</v>
      </c>
      <c r="H39" s="7">
        <f>'Proportion bites on turf'!G57</f>
        <v>0.77</v>
      </c>
      <c r="I39" s="7">
        <f>'Proportion bites on turf'!H57</f>
        <v>0.77</v>
      </c>
      <c r="J39" s="7">
        <f>'Proportion bites on turf'!I57</f>
        <v>0.77</v>
      </c>
      <c r="K39" s="7">
        <f>'Proportion bites on turf'!J57</f>
        <v>0.77500000000000002</v>
      </c>
      <c r="L39" s="7">
        <f>'Proportion bites on turf'!K57</f>
        <v>0.77500000000000002</v>
      </c>
      <c r="M39" s="107">
        <f>'Proportion bites on turf'!L57</f>
        <v>0.77500000000000002</v>
      </c>
      <c r="N39" s="112"/>
      <c r="O39" s="117"/>
      <c r="P39" s="244"/>
      <c r="Q39" s="244"/>
      <c r="R39" s="244"/>
      <c r="S39" s="244"/>
      <c r="T39" s="23"/>
      <c r="U39" s="1"/>
      <c r="V39" s="23"/>
      <c r="W39" s="1"/>
      <c r="X39" s="113"/>
      <c r="Y39" s="113"/>
      <c r="Z39" s="114"/>
      <c r="AA39" s="3"/>
      <c r="AB39" s="346"/>
      <c r="AC39" s="346"/>
      <c r="AD39" s="346"/>
      <c r="AE39" s="346"/>
      <c r="AF39" s="346"/>
      <c r="AG39" s="346"/>
      <c r="AH39" s="346"/>
      <c r="AL39" s="115"/>
      <c r="AM39" s="3"/>
      <c r="AN39" s="3"/>
      <c r="AO39" s="3"/>
      <c r="AP39" s="3"/>
      <c r="AQ39" s="3"/>
      <c r="AR39" s="3"/>
      <c r="AT39" s="3"/>
      <c r="AU39" s="116"/>
      <c r="AV39" s="3"/>
      <c r="AW39" s="3"/>
    </row>
    <row r="40" spans="1:49" ht="15" customHeight="1" thickBot="1" x14ac:dyDescent="0.35">
      <c r="A40" s="327"/>
      <c r="B40" s="23"/>
      <c r="C40" s="137" t="s">
        <v>29</v>
      </c>
      <c r="D40" s="138">
        <f>'Proportion bites on turf'!C58</f>
        <v>0.86</v>
      </c>
      <c r="E40" s="9">
        <f>'Proportion bites on turf'!D58</f>
        <v>0.86</v>
      </c>
      <c r="F40" s="9">
        <f>'Proportion bites on turf'!E58</f>
        <v>0.86</v>
      </c>
      <c r="G40" s="9">
        <f>'Proportion bites on turf'!F58</f>
        <v>0.86</v>
      </c>
      <c r="H40" s="9">
        <f>'Proportion bites on turf'!G58</f>
        <v>0.86</v>
      </c>
      <c r="I40" s="9">
        <f>'Proportion bites on turf'!H58</f>
        <v>0.86</v>
      </c>
      <c r="J40" s="9">
        <f>'Proportion bites on turf'!I58</f>
        <v>0.86</v>
      </c>
      <c r="K40" s="9">
        <f>'Proportion bites on turf'!J58</f>
        <v>0.86</v>
      </c>
      <c r="L40" s="9">
        <f>'Proportion bites on turf'!K58</f>
        <v>0.86</v>
      </c>
      <c r="M40" s="111">
        <f>'Proportion bites on turf'!L58</f>
        <v>0.86</v>
      </c>
      <c r="N40" s="117"/>
      <c r="O40" s="117"/>
      <c r="P40" s="277" t="s">
        <v>291</v>
      </c>
      <c r="Q40" s="244"/>
      <c r="R40" s="244"/>
      <c r="S40" s="244"/>
      <c r="T40" s="23"/>
      <c r="U40" s="23"/>
      <c r="V40" s="118"/>
      <c r="W40" s="118"/>
      <c r="X40" s="118"/>
      <c r="Y40" s="118"/>
      <c r="Z40" s="119"/>
      <c r="AB40" s="115"/>
      <c r="AC40" s="3"/>
      <c r="AD40" s="3"/>
      <c r="AE40" s="3"/>
      <c r="AF40" s="3"/>
      <c r="AG40" s="3"/>
      <c r="AK40" s="115"/>
      <c r="AL40" s="81"/>
      <c r="AM40" s="81"/>
      <c r="AN40" s="81"/>
      <c r="AO40" s="81"/>
      <c r="AP40" s="81"/>
      <c r="AQ40" s="81"/>
      <c r="AS40" s="22"/>
      <c r="AT40" s="22"/>
      <c r="AU40" s="22"/>
      <c r="AV40" s="22"/>
      <c r="AW40" s="22"/>
    </row>
    <row r="41" spans="1:49" x14ac:dyDescent="0.3">
      <c r="A41" s="327"/>
      <c r="B41" s="326" t="s">
        <v>120</v>
      </c>
      <c r="C41" s="131" t="s">
        <v>201</v>
      </c>
      <c r="D41" s="132">
        <f>'Proportion bites on turf'!C59</f>
        <v>0.97499999999999998</v>
      </c>
      <c r="E41" s="7">
        <f>'Proportion bites on turf'!D59</f>
        <v>0.99</v>
      </c>
      <c r="F41" s="7">
        <f>'Proportion bites on turf'!E59</f>
        <v>0.99</v>
      </c>
      <c r="G41" s="7">
        <f>'Proportion bites on turf'!F59</f>
        <v>1</v>
      </c>
      <c r="H41" s="7">
        <f>'Proportion bites on turf'!G59</f>
        <v>0.97499999999999998</v>
      </c>
      <c r="I41" s="7">
        <f>'Proportion bites on turf'!H59</f>
        <v>0.99</v>
      </c>
      <c r="J41" s="7">
        <f>'Proportion bites on turf'!I59</f>
        <v>0.99</v>
      </c>
      <c r="K41" s="7">
        <f>'Proportion bites on turf'!J59</f>
        <v>1</v>
      </c>
      <c r="L41" s="7">
        <f>'Proportion bites on turf'!K59</f>
        <v>1</v>
      </c>
      <c r="M41" s="107">
        <f>'Proportion bites on turf'!L59</f>
        <v>1</v>
      </c>
      <c r="N41" s="120"/>
      <c r="O41" s="117" t="s">
        <v>298</v>
      </c>
      <c r="P41" s="338" t="s">
        <v>261</v>
      </c>
      <c r="Q41" s="339"/>
      <c r="R41" s="339"/>
      <c r="S41" s="339"/>
      <c r="T41" s="288" t="s">
        <v>299</v>
      </c>
      <c r="U41" s="23"/>
      <c r="V41" s="85"/>
      <c r="W41" s="85"/>
      <c r="X41" s="85"/>
      <c r="Y41" s="85"/>
      <c r="Z41" s="121"/>
      <c r="AB41" s="115"/>
      <c r="AC41" s="22"/>
      <c r="AD41" s="22"/>
      <c r="AE41" s="22"/>
      <c r="AF41" s="22"/>
      <c r="AG41" s="22"/>
      <c r="AK41" s="115"/>
      <c r="AL41" s="82"/>
      <c r="AM41" s="82"/>
      <c r="AN41" s="83"/>
      <c r="AO41" s="84"/>
      <c r="AP41" s="84"/>
      <c r="AQ41" s="83"/>
      <c r="AS41" s="122"/>
      <c r="AT41" s="122"/>
      <c r="AU41" s="122"/>
      <c r="AV41" s="122"/>
      <c r="AW41" s="122"/>
    </row>
    <row r="42" spans="1:49" ht="15" thickBot="1" x14ac:dyDescent="0.35">
      <c r="A42" s="327"/>
      <c r="B42" s="326"/>
      <c r="C42" s="134" t="s">
        <v>27</v>
      </c>
      <c r="D42" s="135">
        <f>'Proportion bites on turf'!C60</f>
        <v>0.97499999999999998</v>
      </c>
      <c r="E42" s="4">
        <f>'Proportion bites on turf'!D60</f>
        <v>0.99</v>
      </c>
      <c r="F42" s="4">
        <f>'Proportion bites on turf'!E60</f>
        <v>0.99</v>
      </c>
      <c r="G42" s="4">
        <f>'Proportion bites on turf'!F60</f>
        <v>1</v>
      </c>
      <c r="H42" s="4">
        <f>'Proportion bites on turf'!G60</f>
        <v>0.97499999999999998</v>
      </c>
      <c r="I42" s="4">
        <f>'Proportion bites on turf'!H60</f>
        <v>0.99</v>
      </c>
      <c r="J42" s="4">
        <f>'Proportion bites on turf'!I60</f>
        <v>0.99</v>
      </c>
      <c r="K42" s="4">
        <f>'Proportion bites on turf'!J60</f>
        <v>1</v>
      </c>
      <c r="L42" s="4">
        <f>'Proportion bites on turf'!K60</f>
        <v>1</v>
      </c>
      <c r="M42" s="109"/>
      <c r="N42" s="117"/>
      <c r="O42" s="117" t="s">
        <v>183</v>
      </c>
      <c r="P42" s="341" t="s">
        <v>262</v>
      </c>
      <c r="Q42" s="342"/>
      <c r="R42" s="342"/>
      <c r="S42" s="342"/>
      <c r="T42" s="289" t="s">
        <v>300</v>
      </c>
      <c r="U42" s="23"/>
      <c r="V42" s="118"/>
      <c r="W42" s="85"/>
      <c r="X42" s="85"/>
      <c r="Y42" s="85"/>
      <c r="Z42" s="121"/>
      <c r="AB42" s="115"/>
      <c r="AC42" s="122"/>
      <c r="AD42" s="122"/>
      <c r="AE42" s="122"/>
      <c r="AF42" s="122"/>
      <c r="AG42" s="122"/>
      <c r="AK42" s="115"/>
      <c r="AL42" s="81"/>
      <c r="AM42" s="81"/>
      <c r="AN42" s="81"/>
      <c r="AO42" s="81"/>
      <c r="AP42" s="81"/>
      <c r="AQ42" s="81"/>
      <c r="AS42" s="22"/>
      <c r="AT42" s="122"/>
      <c r="AU42" s="122"/>
      <c r="AV42" s="122"/>
      <c r="AW42" s="122"/>
    </row>
    <row r="43" spans="1:49" x14ac:dyDescent="0.3">
      <c r="A43" s="106"/>
      <c r="B43" s="326"/>
      <c r="C43" s="134" t="s">
        <v>202</v>
      </c>
      <c r="D43" s="135">
        <f>'Proportion bites on turf'!C61</f>
        <v>0.97499999999999998</v>
      </c>
      <c r="E43" s="4">
        <f>'Proportion bites on turf'!D61</f>
        <v>0.99</v>
      </c>
      <c r="F43" s="4">
        <f>'Proportion bites on turf'!E61</f>
        <v>0.99</v>
      </c>
      <c r="G43" s="4">
        <f>'Proportion bites on turf'!F61</f>
        <v>1</v>
      </c>
      <c r="H43" s="4">
        <f>'Proportion bites on turf'!G61</f>
        <v>0.97499999999999998</v>
      </c>
      <c r="I43" s="4">
        <f>'Proportion bites on turf'!H61</f>
        <v>0.99</v>
      </c>
      <c r="J43" s="4">
        <f>'Proportion bites on turf'!I61</f>
        <v>0.99</v>
      </c>
      <c r="K43" s="4">
        <f>'Proportion bites on turf'!J61</f>
        <v>1</v>
      </c>
      <c r="L43" s="4">
        <f>'Proportion bites on turf'!K61</f>
        <v>1</v>
      </c>
      <c r="M43" s="108">
        <f>'Proportion bites on turf'!L61</f>
        <v>1</v>
      </c>
      <c r="N43" s="117"/>
      <c r="O43" s="117" t="s">
        <v>290</v>
      </c>
      <c r="P43" s="278" t="s">
        <v>260</v>
      </c>
      <c r="Q43" s="269"/>
      <c r="R43" s="269"/>
      <c r="S43" s="269"/>
      <c r="T43" s="285">
        <v>757</v>
      </c>
      <c r="U43" s="23"/>
      <c r="V43" s="23"/>
      <c r="W43" s="23"/>
      <c r="X43" s="23"/>
      <c r="Y43" s="23"/>
      <c r="Z43" s="93"/>
      <c r="AB43" s="115"/>
      <c r="AC43" s="122"/>
      <c r="AD43" s="122"/>
      <c r="AE43" s="122"/>
      <c r="AF43" s="122"/>
      <c r="AG43" s="122"/>
      <c r="AK43" s="115"/>
      <c r="AL43" s="81"/>
      <c r="AM43" s="81"/>
      <c r="AN43" s="81"/>
      <c r="AO43" s="81"/>
      <c r="AP43" s="81"/>
      <c r="AQ43" s="81"/>
    </row>
    <row r="44" spans="1:49" ht="14.55" customHeight="1" x14ac:dyDescent="0.3">
      <c r="A44" s="106"/>
      <c r="B44" s="326"/>
      <c r="C44" s="134" t="s">
        <v>233</v>
      </c>
      <c r="D44" s="135">
        <f>'Proportion bites on turf'!C62</f>
        <v>0.99333333333333329</v>
      </c>
      <c r="E44" s="4">
        <f>'Proportion bites on turf'!D62</f>
        <v>0.98133333333333328</v>
      </c>
      <c r="F44" s="4">
        <f>'Proportion bites on turf'!E62</f>
        <v>0.99233333333333329</v>
      </c>
      <c r="G44" s="4">
        <f>'Proportion bites on turf'!F62</f>
        <v>0.99233333333333329</v>
      </c>
      <c r="H44" s="4">
        <f>'Proportion bites on turf'!G62</f>
        <v>0.99333333333333329</v>
      </c>
      <c r="I44" s="4">
        <f>'Proportion bites on turf'!H62</f>
        <v>0.98133333333333328</v>
      </c>
      <c r="J44" s="4">
        <f>'Proportion bites on turf'!I62</f>
        <v>0.99233333333333329</v>
      </c>
      <c r="K44" s="4">
        <f>'Proportion bites on turf'!J62</f>
        <v>0.99233333333333329</v>
      </c>
      <c r="L44" s="28"/>
      <c r="M44" s="109"/>
      <c r="N44" s="117"/>
      <c r="O44" s="117" t="s">
        <v>183</v>
      </c>
      <c r="P44" s="279" t="s">
        <v>261</v>
      </c>
      <c r="Q44" s="244"/>
      <c r="R44" s="244"/>
      <c r="S44" s="244"/>
      <c r="T44" s="286">
        <v>217</v>
      </c>
      <c r="U44" s="23"/>
      <c r="V44" s="23"/>
      <c r="W44" s="23"/>
      <c r="X44" s="23"/>
      <c r="Y44" s="23"/>
      <c r="Z44" s="93"/>
      <c r="AB44" s="115"/>
      <c r="AC44" s="122"/>
      <c r="AD44" s="122"/>
      <c r="AE44" s="122"/>
      <c r="AF44" s="122"/>
      <c r="AG44" s="122"/>
      <c r="AK44" s="115"/>
      <c r="AL44" s="81"/>
      <c r="AM44" s="81"/>
      <c r="AN44" s="81"/>
      <c r="AO44" s="81"/>
      <c r="AP44" s="81"/>
      <c r="AQ44" s="81"/>
    </row>
    <row r="45" spans="1:49" ht="14.55" customHeight="1" thickBot="1" x14ac:dyDescent="0.35">
      <c r="A45" s="106"/>
      <c r="B45" s="326"/>
      <c r="C45" s="134" t="s">
        <v>122</v>
      </c>
      <c r="D45" s="135">
        <f>'Proportion bites on turf'!C63</f>
        <v>0.92</v>
      </c>
      <c r="E45" s="4">
        <f>'Proportion bites on turf'!D63</f>
        <v>0.92</v>
      </c>
      <c r="F45" s="4">
        <f>'Proportion bites on turf'!E63</f>
        <v>0.92</v>
      </c>
      <c r="G45" s="28"/>
      <c r="H45" s="4">
        <f>'Proportion bites on turf'!G63</f>
        <v>0.92</v>
      </c>
      <c r="I45" s="4">
        <f>'Proportion bites on turf'!H63</f>
        <v>0.92</v>
      </c>
      <c r="J45" s="4">
        <f>'Proportion bites on turf'!I63</f>
        <v>0.92</v>
      </c>
      <c r="K45" s="28"/>
      <c r="L45" s="28"/>
      <c r="M45" s="109"/>
      <c r="N45" s="117"/>
      <c r="O45" s="117"/>
      <c r="P45" s="280" t="s">
        <v>262</v>
      </c>
      <c r="Q45" s="271"/>
      <c r="R45" s="271"/>
      <c r="S45" s="271"/>
      <c r="T45" s="287">
        <v>1172</v>
      </c>
      <c r="U45" s="277"/>
      <c r="V45" s="244"/>
      <c r="W45" s="244"/>
      <c r="X45" s="244"/>
      <c r="Y45" s="23"/>
      <c r="Z45" s="23"/>
      <c r="AB45" s="115"/>
      <c r="AC45" s="122"/>
      <c r="AD45" s="122"/>
      <c r="AE45" s="122"/>
      <c r="AF45" s="122"/>
      <c r="AG45" s="122"/>
      <c r="AK45" s="115"/>
      <c r="AL45" s="81"/>
      <c r="AM45" s="81"/>
      <c r="AN45" s="81"/>
      <c r="AO45" s="81"/>
      <c r="AP45" s="81"/>
      <c r="AQ45" s="81"/>
    </row>
    <row r="46" spans="1:49" x14ac:dyDescent="0.3">
      <c r="A46" s="106"/>
      <c r="B46" s="326"/>
      <c r="C46" s="134" t="s">
        <v>234</v>
      </c>
      <c r="D46" s="135">
        <f>'Proportion bites on turf'!C64</f>
        <v>0.97499999999999998</v>
      </c>
      <c r="E46" s="4">
        <f>'Proportion bites on turf'!D64</f>
        <v>0.99</v>
      </c>
      <c r="F46" s="4">
        <f>'Proportion bites on turf'!E64</f>
        <v>0.99</v>
      </c>
      <c r="G46" s="4">
        <f>'Proportion bites on turf'!F64</f>
        <v>1</v>
      </c>
      <c r="H46" s="4">
        <f>'Proportion bites on turf'!G64</f>
        <v>0.97499999999999998</v>
      </c>
      <c r="I46" s="4">
        <f>'Proportion bites on turf'!H64</f>
        <v>0.99</v>
      </c>
      <c r="J46" s="4">
        <f>'Proportion bites on turf'!I64</f>
        <v>0.99</v>
      </c>
      <c r="K46" s="4">
        <f>'Proportion bites on turf'!J64</f>
        <v>1</v>
      </c>
      <c r="L46" s="28"/>
      <c r="M46" s="109"/>
      <c r="N46" s="117"/>
      <c r="O46" s="117" t="s">
        <v>289</v>
      </c>
      <c r="P46" s="278" t="s">
        <v>286</v>
      </c>
      <c r="Q46" s="269"/>
      <c r="R46" s="269"/>
      <c r="S46" s="269"/>
      <c r="T46" s="285">
        <v>864</v>
      </c>
      <c r="U46" s="23"/>
      <c r="V46" s="23"/>
      <c r="W46" s="23"/>
      <c r="X46" s="23"/>
      <c r="Y46" s="23"/>
      <c r="Z46" s="93"/>
      <c r="AB46" s="115"/>
      <c r="AC46" s="122"/>
      <c r="AD46" s="122"/>
      <c r="AE46" s="122"/>
      <c r="AF46" s="122"/>
      <c r="AG46" s="122"/>
      <c r="AK46" s="115"/>
      <c r="AL46" s="81"/>
      <c r="AM46" s="81"/>
      <c r="AN46" s="81"/>
      <c r="AO46" s="81"/>
      <c r="AP46" s="81"/>
      <c r="AQ46" s="81"/>
    </row>
    <row r="47" spans="1:49" x14ac:dyDescent="0.3">
      <c r="A47" s="106"/>
      <c r="B47" s="326"/>
      <c r="C47" s="134" t="s">
        <v>229</v>
      </c>
      <c r="D47" s="135">
        <f>'Proportion bites on turf'!C65</f>
        <v>0.97499999999999998</v>
      </c>
      <c r="E47" s="4">
        <f>'Proportion bites on turf'!D65</f>
        <v>0.99</v>
      </c>
      <c r="F47" s="4">
        <f>'Proportion bites on turf'!E65</f>
        <v>0.99</v>
      </c>
      <c r="G47" s="28"/>
      <c r="H47" s="4">
        <f>'Proportion bites on turf'!G65</f>
        <v>0.97499999999999998</v>
      </c>
      <c r="I47" s="4">
        <f>'Proportion bites on turf'!H65</f>
        <v>0.99</v>
      </c>
      <c r="J47" s="4">
        <f>'Proportion bites on turf'!I65</f>
        <v>0.99</v>
      </c>
      <c r="K47" s="28"/>
      <c r="L47" s="28"/>
      <c r="M47" s="109"/>
      <c r="N47" s="117"/>
      <c r="O47" s="117" t="s">
        <v>183</v>
      </c>
      <c r="P47" s="279" t="s">
        <v>287</v>
      </c>
      <c r="Q47" s="244"/>
      <c r="R47" s="244"/>
      <c r="S47" s="244"/>
      <c r="T47" s="286">
        <v>127</v>
      </c>
      <c r="U47" s="23"/>
      <c r="V47" s="23"/>
      <c r="W47" s="23"/>
      <c r="X47" s="23"/>
      <c r="Y47" s="23"/>
      <c r="Z47" s="93"/>
      <c r="AB47" s="115"/>
      <c r="AC47" s="122"/>
      <c r="AD47" s="122"/>
      <c r="AE47" s="122"/>
      <c r="AF47" s="122"/>
      <c r="AG47" s="122"/>
      <c r="AK47" s="115"/>
      <c r="AL47" s="81"/>
      <c r="AM47" s="81"/>
      <c r="AN47" s="81"/>
      <c r="AO47" s="81"/>
      <c r="AP47" s="81"/>
      <c r="AQ47" s="81"/>
    </row>
    <row r="48" spans="1:49" ht="15" thickBot="1" x14ac:dyDescent="0.35">
      <c r="A48" s="106"/>
      <c r="B48" s="326"/>
      <c r="C48" s="134" t="s">
        <v>227</v>
      </c>
      <c r="D48" s="135">
        <f>'Proportion bites on turf'!C66</f>
        <v>0.97499999999999998</v>
      </c>
      <c r="E48" s="4">
        <f>'Proportion bites on turf'!D66</f>
        <v>0.99</v>
      </c>
      <c r="F48" s="4">
        <f>'Proportion bites on turf'!E66</f>
        <v>0.99</v>
      </c>
      <c r="G48" s="28"/>
      <c r="H48" s="4">
        <f>'Proportion bites on turf'!G66</f>
        <v>0.97499999999999998</v>
      </c>
      <c r="I48" s="4">
        <f>'Proportion bites on turf'!H66</f>
        <v>0.99</v>
      </c>
      <c r="J48" s="4">
        <f>'Proportion bites on turf'!I66</f>
        <v>0.99</v>
      </c>
      <c r="K48" s="28"/>
      <c r="L48" s="28"/>
      <c r="M48" s="109"/>
      <c r="N48" s="117"/>
      <c r="O48" s="117"/>
      <c r="P48" s="280" t="s">
        <v>288</v>
      </c>
      <c r="Q48" s="271"/>
      <c r="R48" s="271"/>
      <c r="S48" s="271"/>
      <c r="T48" s="287">
        <v>287</v>
      </c>
      <c r="U48" s="23"/>
      <c r="V48" s="23"/>
      <c r="W48" s="23"/>
      <c r="X48" s="23"/>
      <c r="Y48" s="23"/>
      <c r="Z48" s="93"/>
      <c r="AB48" s="115"/>
      <c r="AC48" s="122"/>
      <c r="AD48" s="122"/>
      <c r="AE48" s="122"/>
      <c r="AF48" s="122"/>
      <c r="AG48" s="122"/>
      <c r="AK48" s="115"/>
      <c r="AL48" s="81"/>
      <c r="AM48" s="81"/>
      <c r="AN48" s="81"/>
      <c r="AO48" s="81"/>
      <c r="AP48" s="81"/>
      <c r="AQ48" s="81"/>
    </row>
    <row r="49" spans="1:44" x14ac:dyDescent="0.3">
      <c r="A49" s="106"/>
      <c r="B49" s="326"/>
      <c r="C49" s="134" t="s">
        <v>235</v>
      </c>
      <c r="D49" s="135">
        <f>'Proportion bites on turf'!C67</f>
        <v>0.97499999999999998</v>
      </c>
      <c r="E49" s="4">
        <f>'Proportion bites on turf'!D67</f>
        <v>0.99</v>
      </c>
      <c r="F49" s="4">
        <f>'Proportion bites on turf'!E67</f>
        <v>0.99</v>
      </c>
      <c r="G49" s="28"/>
      <c r="H49" s="4">
        <f>'Proportion bites on turf'!G67</f>
        <v>0.97499999999999998</v>
      </c>
      <c r="I49" s="4">
        <f>'Proportion bites on turf'!H67</f>
        <v>0.99</v>
      </c>
      <c r="J49" s="4">
        <f>'Proportion bites on turf'!I67</f>
        <v>0.99</v>
      </c>
      <c r="K49" s="28"/>
      <c r="L49" s="28"/>
      <c r="M49" s="109"/>
      <c r="N49" s="117"/>
      <c r="O49" s="284" t="s">
        <v>292</v>
      </c>
      <c r="P49" s="338" t="s">
        <v>294</v>
      </c>
      <c r="Q49" s="339"/>
      <c r="R49" s="339"/>
      <c r="S49" s="339"/>
      <c r="T49" s="285">
        <v>150</v>
      </c>
      <c r="U49" s="23"/>
      <c r="V49" s="23"/>
      <c r="W49" s="23"/>
      <c r="X49" s="23"/>
      <c r="Y49" s="23"/>
      <c r="Z49" s="93"/>
      <c r="AB49" s="115"/>
      <c r="AC49" s="122"/>
      <c r="AD49" s="122"/>
      <c r="AE49" s="122"/>
      <c r="AF49" s="122"/>
      <c r="AG49" s="122"/>
      <c r="AK49" s="115"/>
      <c r="AL49" s="81"/>
      <c r="AM49" s="81"/>
      <c r="AN49" s="81"/>
      <c r="AO49" s="81"/>
      <c r="AP49" s="81"/>
      <c r="AQ49" s="81"/>
    </row>
    <row r="50" spans="1:44" ht="15" thickBot="1" x14ac:dyDescent="0.35">
      <c r="A50" s="106"/>
      <c r="B50" s="326"/>
      <c r="C50" s="134" t="s">
        <v>28</v>
      </c>
      <c r="D50" s="135">
        <f>'Proportion bites on turf'!C68</f>
        <v>0.98</v>
      </c>
      <c r="E50" s="4">
        <f>'Proportion bites on turf'!D68</f>
        <v>0.99</v>
      </c>
      <c r="F50" s="28"/>
      <c r="G50" s="28"/>
      <c r="H50" s="4">
        <f>'Proportion bites on turf'!G68</f>
        <v>0.98</v>
      </c>
      <c r="I50" s="4">
        <f>'Proportion bites on turf'!H68</f>
        <v>0.99</v>
      </c>
      <c r="J50" s="28"/>
      <c r="K50" s="28"/>
      <c r="L50" s="28"/>
      <c r="M50" s="109"/>
      <c r="N50" s="117"/>
      <c r="O50" s="85" t="s">
        <v>293</v>
      </c>
      <c r="P50" s="341" t="s">
        <v>262</v>
      </c>
      <c r="Q50" s="342"/>
      <c r="R50" s="342"/>
      <c r="S50" s="342"/>
      <c r="T50" s="287">
        <v>100</v>
      </c>
      <c r="U50" s="23"/>
      <c r="V50" s="23"/>
      <c r="W50" s="23"/>
      <c r="X50" s="23"/>
      <c r="Y50" s="23"/>
      <c r="Z50" s="93"/>
      <c r="AB50" s="115"/>
      <c r="AC50" s="122"/>
      <c r="AD50" s="122"/>
      <c r="AE50" s="122"/>
      <c r="AF50" s="122"/>
      <c r="AG50" s="122"/>
      <c r="AK50" s="115"/>
      <c r="AL50" s="81"/>
      <c r="AM50" s="81"/>
      <c r="AN50" s="81"/>
      <c r="AO50" s="81"/>
      <c r="AP50" s="81"/>
      <c r="AQ50" s="81"/>
    </row>
    <row r="51" spans="1:44" ht="15" thickBot="1" x14ac:dyDescent="0.35">
      <c r="A51" s="106"/>
      <c r="B51" s="326"/>
      <c r="C51" s="139" t="s">
        <v>228</v>
      </c>
      <c r="D51" s="140">
        <f>'Proportion bites on turf'!C69</f>
        <v>0.98</v>
      </c>
      <c r="E51" s="124">
        <f>'Proportion bites on turf'!D69</f>
        <v>0.99</v>
      </c>
      <c r="F51" s="125"/>
      <c r="G51" s="125"/>
      <c r="H51" s="124">
        <f>'Proportion bites on turf'!G69</f>
        <v>0.98</v>
      </c>
      <c r="I51" s="124">
        <f>'Proportion bites on turf'!H69</f>
        <v>0.99</v>
      </c>
      <c r="J51" s="125"/>
      <c r="K51" s="125"/>
      <c r="L51" s="125"/>
      <c r="M51" s="126"/>
      <c r="N51" s="117"/>
      <c r="O51" s="23" t="s">
        <v>295</v>
      </c>
      <c r="P51" s="338" t="s">
        <v>296</v>
      </c>
      <c r="Q51" s="339"/>
      <c r="R51" s="339"/>
      <c r="S51" s="339"/>
      <c r="T51" s="285">
        <v>200</v>
      </c>
      <c r="U51" s="23"/>
      <c r="V51" s="23"/>
      <c r="W51" s="23"/>
      <c r="X51" s="23"/>
      <c r="Y51" s="23"/>
      <c r="Z51" s="93"/>
      <c r="AB51" s="115"/>
      <c r="AC51" s="122"/>
      <c r="AD51" s="122"/>
      <c r="AE51" s="122"/>
      <c r="AF51" s="122"/>
      <c r="AG51" s="122"/>
      <c r="AK51" s="115"/>
      <c r="AL51" s="81"/>
      <c r="AM51" s="81"/>
      <c r="AN51" s="81"/>
      <c r="AO51" s="81"/>
      <c r="AP51" s="81"/>
      <c r="AQ51" s="81"/>
    </row>
    <row r="52" spans="1:44" ht="15" thickBot="1" x14ac:dyDescent="0.35">
      <c r="A52" s="92"/>
      <c r="B52" s="23"/>
      <c r="C52" s="23"/>
      <c r="D52" s="52"/>
      <c r="E52" s="52"/>
      <c r="F52" s="52"/>
      <c r="G52" s="52"/>
      <c r="H52" s="52"/>
      <c r="I52" s="52"/>
      <c r="J52" s="52"/>
      <c r="K52" s="52"/>
      <c r="L52" s="52"/>
      <c r="M52" s="52"/>
      <c r="N52" s="112"/>
      <c r="O52" s="85" t="s">
        <v>31</v>
      </c>
      <c r="P52" s="341" t="s">
        <v>297</v>
      </c>
      <c r="Q52" s="342"/>
      <c r="R52" s="342"/>
      <c r="S52" s="342"/>
      <c r="T52" s="287">
        <v>100</v>
      </c>
      <c r="U52" s="117"/>
      <c r="V52" s="23"/>
      <c r="W52" s="23"/>
      <c r="X52" s="23"/>
      <c r="Y52" s="23"/>
      <c r="Z52" s="93"/>
      <c r="AL52" s="115"/>
      <c r="AM52" s="81"/>
      <c r="AN52" s="81"/>
      <c r="AO52" s="81"/>
      <c r="AP52" s="81"/>
      <c r="AQ52" s="81"/>
      <c r="AR52" s="81"/>
    </row>
    <row r="53" spans="1:44" ht="16.8" thickBot="1" x14ac:dyDescent="0.35">
      <c r="A53" s="92"/>
      <c r="B53" s="23"/>
      <c r="C53" s="128" t="s">
        <v>275</v>
      </c>
      <c r="D53" s="290">
        <v>200</v>
      </c>
      <c r="E53" s="23"/>
      <c r="F53" s="23"/>
      <c r="G53" s="23"/>
      <c r="H53" s="23"/>
      <c r="I53" s="23"/>
      <c r="J53" s="23"/>
      <c r="K53" s="23"/>
      <c r="L53" s="23"/>
      <c r="M53" s="23"/>
      <c r="N53" s="23"/>
      <c r="O53" s="23"/>
      <c r="P53" s="23"/>
      <c r="Q53" s="23"/>
      <c r="R53" s="23"/>
      <c r="S53" s="23"/>
      <c r="T53" s="23"/>
      <c r="U53" s="23"/>
      <c r="V53" s="23"/>
      <c r="W53" s="23"/>
      <c r="X53" s="23"/>
      <c r="Y53" s="23"/>
      <c r="Z53" s="93"/>
      <c r="AB53" s="115"/>
    </row>
    <row r="54" spans="1:44" ht="15" thickBot="1" x14ac:dyDescent="0.35">
      <c r="A54" s="92"/>
      <c r="B54" s="23"/>
      <c r="C54" s="23"/>
      <c r="D54" s="23"/>
      <c r="E54" s="1"/>
      <c r="F54" s="1"/>
      <c r="G54" s="1"/>
      <c r="H54" s="129"/>
      <c r="I54" s="129"/>
      <c r="J54" s="129"/>
      <c r="K54" s="129"/>
      <c r="L54" s="129"/>
      <c r="M54" s="1"/>
      <c r="N54" s="23"/>
      <c r="O54" s="23"/>
      <c r="P54" s="23"/>
      <c r="Q54" s="23"/>
      <c r="R54" s="23"/>
      <c r="S54" s="23"/>
      <c r="T54" s="23"/>
      <c r="U54" s="23"/>
      <c r="V54" s="23"/>
      <c r="W54" s="23"/>
      <c r="X54" s="23"/>
      <c r="Y54" s="23"/>
      <c r="Z54" s="93"/>
    </row>
    <row r="55" spans="1:44" ht="15" customHeight="1" x14ac:dyDescent="0.3">
      <c r="A55" s="92"/>
      <c r="B55" s="23"/>
      <c r="C55" s="344" t="s">
        <v>125</v>
      </c>
      <c r="D55" s="336" t="s">
        <v>11</v>
      </c>
      <c r="E55" s="336"/>
      <c r="F55" s="336"/>
      <c r="G55" s="337"/>
      <c r="H55" s="328" t="s">
        <v>12</v>
      </c>
      <c r="I55" s="329"/>
      <c r="J55" s="329"/>
      <c r="K55" s="329"/>
      <c r="L55" s="329"/>
      <c r="M55" s="330"/>
      <c r="N55" s="331" t="s">
        <v>257</v>
      </c>
      <c r="O55" s="332"/>
      <c r="P55" s="335" t="s">
        <v>11</v>
      </c>
      <c r="Q55" s="336"/>
      <c r="R55" s="336"/>
      <c r="S55" s="337"/>
      <c r="T55" s="328" t="s">
        <v>12</v>
      </c>
      <c r="U55" s="329"/>
      <c r="V55" s="329"/>
      <c r="W55" s="329"/>
      <c r="X55" s="329"/>
      <c r="Y55" s="330"/>
      <c r="Z55" s="93"/>
      <c r="AC55">
        <f>0.057*10000</f>
        <v>570</v>
      </c>
    </row>
    <row r="56" spans="1:44" ht="18" customHeight="1" x14ac:dyDescent="0.3">
      <c r="A56" s="92"/>
      <c r="B56" s="23"/>
      <c r="C56" s="345"/>
      <c r="D56" s="102" t="s">
        <v>0</v>
      </c>
      <c r="E56" s="102" t="s">
        <v>1</v>
      </c>
      <c r="F56" s="102" t="s">
        <v>2</v>
      </c>
      <c r="G56" s="103" t="s">
        <v>3</v>
      </c>
      <c r="H56" s="104" t="s">
        <v>0</v>
      </c>
      <c r="I56" s="104" t="s">
        <v>1</v>
      </c>
      <c r="J56" s="104" t="s">
        <v>2</v>
      </c>
      <c r="K56" s="104" t="s">
        <v>3</v>
      </c>
      <c r="L56" s="104" t="s">
        <v>4</v>
      </c>
      <c r="M56" s="105" t="s">
        <v>309</v>
      </c>
      <c r="N56" s="333"/>
      <c r="O56" s="334"/>
      <c r="P56" s="130" t="s">
        <v>0</v>
      </c>
      <c r="Q56" s="102" t="s">
        <v>1</v>
      </c>
      <c r="R56" s="102" t="s">
        <v>2</v>
      </c>
      <c r="S56" s="103" t="s">
        <v>3</v>
      </c>
      <c r="T56" s="104" t="s">
        <v>0</v>
      </c>
      <c r="U56" s="104" t="s">
        <v>1</v>
      </c>
      <c r="V56" s="104" t="s">
        <v>2</v>
      </c>
      <c r="W56" s="104" t="s">
        <v>3</v>
      </c>
      <c r="X56" s="104" t="s">
        <v>4</v>
      </c>
      <c r="Y56" s="105" t="s">
        <v>309</v>
      </c>
      <c r="Z56" s="93"/>
    </row>
    <row r="57" spans="1:44" ht="14.55" customHeight="1" x14ac:dyDescent="0.3">
      <c r="A57" s="106"/>
      <c r="B57" s="326" t="s">
        <v>118</v>
      </c>
      <c r="C57" s="131" t="s">
        <v>63</v>
      </c>
      <c r="D57" s="132">
        <f>'Bite rates'!C164</f>
        <v>6.0710080535616271</v>
      </c>
      <c r="E57" s="7">
        <f>'Bite rates'!D164</f>
        <v>5.3925003228137314</v>
      </c>
      <c r="F57" s="7">
        <f>'Bite rates'!E164</f>
        <v>5.4509310331026484</v>
      </c>
      <c r="G57" s="7">
        <f>'Bite rates'!F164</f>
        <v>5.6939566515435551</v>
      </c>
      <c r="H57" s="7">
        <f>'Bite rates'!G164</f>
        <v>5.0419287470924399</v>
      </c>
      <c r="I57" s="7">
        <f>'Bite rates'!H164</f>
        <v>4.9251528211384299</v>
      </c>
      <c r="J57" s="7">
        <f>'Bite rates'!I164</f>
        <v>5.5438375032596374</v>
      </c>
      <c r="K57" s="7">
        <f>'Bite rates'!J164</f>
        <v>5.0414984287278086</v>
      </c>
      <c r="L57" s="7">
        <f>'Bite rates'!K164</f>
        <v>5.4304660568909497</v>
      </c>
      <c r="M57" s="7">
        <f>'Bite rates'!L164</f>
        <v>5.4091900597016709</v>
      </c>
      <c r="N57" s="131"/>
      <c r="O57" s="133"/>
      <c r="P57" s="155">
        <f t="shared" ref="P57:Y58" si="21">D57*D34</f>
        <v>4.3104157180287554</v>
      </c>
      <c r="Q57" s="156">
        <f t="shared" si="21"/>
        <v>3.8286752291977493</v>
      </c>
      <c r="R57" s="156">
        <f t="shared" si="21"/>
        <v>3.87016103350288</v>
      </c>
      <c r="S57" s="156">
        <f t="shared" si="21"/>
        <v>4.0427092225959242</v>
      </c>
      <c r="T57" s="156">
        <f t="shared" si="21"/>
        <v>3.5797694104356323</v>
      </c>
      <c r="U57" s="156">
        <f t="shared" si="21"/>
        <v>3.4968585030082853</v>
      </c>
      <c r="V57" s="156">
        <f t="shared" si="21"/>
        <v>3.9361246273143422</v>
      </c>
      <c r="W57" s="156">
        <f t="shared" si="21"/>
        <v>3.5794638843967439</v>
      </c>
      <c r="X57" s="156">
        <f t="shared" si="21"/>
        <v>3.8556309003925739</v>
      </c>
      <c r="Y57" s="157">
        <f t="shared" si="21"/>
        <v>3.840524942388186</v>
      </c>
      <c r="Z57" s="93"/>
    </row>
    <row r="58" spans="1:44" x14ac:dyDescent="0.3">
      <c r="A58" s="106"/>
      <c r="B58" s="326"/>
      <c r="C58" s="134" t="s">
        <v>51</v>
      </c>
      <c r="D58" s="135">
        <f>'Bite rates'!C165</f>
        <v>10.261122803290599</v>
      </c>
      <c r="E58" s="4">
        <f>'Bite rates'!D165</f>
        <v>9.2397849812415576</v>
      </c>
      <c r="F58" s="4">
        <f>'Bite rates'!E165</f>
        <v>8.6188854548711671</v>
      </c>
      <c r="G58" s="4">
        <f>'Bite rates'!F165</f>
        <v>8.0909868507014497</v>
      </c>
      <c r="H58" s="4">
        <f>'Bite rates'!G165</f>
        <v>10.182834588096172</v>
      </c>
      <c r="I58" s="4">
        <f>'Bite rates'!H165</f>
        <v>9.3755971706014645</v>
      </c>
      <c r="J58" s="4">
        <f>'Bite rates'!I165</f>
        <v>8.1006978057591308</v>
      </c>
      <c r="K58" s="4">
        <f>'Bite rates'!J165</f>
        <v>7.3746470551650871</v>
      </c>
      <c r="L58" s="4">
        <f>'Bite rates'!K165</f>
        <v>7.0073664274277245</v>
      </c>
      <c r="M58" s="4">
        <f>'Bite rates'!L165</f>
        <v>6.5517456358270572</v>
      </c>
      <c r="N58" s="134"/>
      <c r="O58" s="136"/>
      <c r="P58" s="158">
        <f t="shared" si="21"/>
        <v>9.1785743475434405</v>
      </c>
      <c r="Q58" s="159">
        <f t="shared" si="21"/>
        <v>8.4544032578360255</v>
      </c>
      <c r="R58" s="159">
        <f t="shared" si="21"/>
        <v>7.6923552684725172</v>
      </c>
      <c r="S58" s="159">
        <f t="shared" si="21"/>
        <v>7.2212057642510441</v>
      </c>
      <c r="T58" s="159">
        <f t="shared" si="21"/>
        <v>9.1085455390520274</v>
      </c>
      <c r="U58" s="159">
        <f t="shared" si="21"/>
        <v>8.5786714111003395</v>
      </c>
      <c r="V58" s="159">
        <f t="shared" si="21"/>
        <v>7.2298727916400249</v>
      </c>
      <c r="W58" s="159">
        <f t="shared" si="21"/>
        <v>6.5818724967348405</v>
      </c>
      <c r="X58" s="159">
        <f t="shared" si="21"/>
        <v>6.2365561204106745</v>
      </c>
      <c r="Y58" s="160">
        <f t="shared" si="21"/>
        <v>5.8310536158860806</v>
      </c>
      <c r="Z58" s="93"/>
    </row>
    <row r="59" spans="1:44" ht="14.55" customHeight="1" x14ac:dyDescent="0.3">
      <c r="A59" s="23"/>
      <c r="B59" s="326"/>
      <c r="C59" s="134" t="s">
        <v>232</v>
      </c>
      <c r="D59" s="135">
        <f>'Bite rates'!C166</f>
        <v>17.908115433558979</v>
      </c>
      <c r="E59" s="4">
        <f>'Bite rates'!D166</f>
        <v>15.102009625774052</v>
      </c>
      <c r="F59" s="4">
        <f>'Bite rates'!E166</f>
        <v>15.919478431963023</v>
      </c>
      <c r="G59" s="28"/>
      <c r="H59" s="4">
        <f>'Bite rates'!G166</f>
        <v>15.235861841804081</v>
      </c>
      <c r="I59" s="4">
        <f>'Bite rates'!H166</f>
        <v>13.313577283055025</v>
      </c>
      <c r="J59" s="4">
        <f>'Bite rates'!I166</f>
        <v>15.919478431963023</v>
      </c>
      <c r="K59" s="28"/>
      <c r="L59" s="28"/>
      <c r="M59" s="109"/>
      <c r="N59" s="134"/>
      <c r="O59" s="136"/>
      <c r="P59" s="158">
        <f t="shared" ref="P59:P72" si="22">D59*D36</f>
        <v>16.936600171288404</v>
      </c>
      <c r="Q59" s="159">
        <f t="shared" ref="Q59:Q72" si="23">E59*E36</f>
        <v>14.664051346626605</v>
      </c>
      <c r="R59" s="159">
        <f t="shared" ref="R59:R72" si="24">F59*F36</f>
        <v>15.802735590128627</v>
      </c>
      <c r="S59" s="28"/>
      <c r="T59" s="159">
        <f t="shared" ref="T59:T72" si="25">H59*H36</f>
        <v>14.409316336886208</v>
      </c>
      <c r="U59" s="159">
        <f t="shared" ref="U59:U72" si="26">I59*I36</f>
        <v>12.927483541846431</v>
      </c>
      <c r="V59" s="159">
        <f t="shared" ref="V59:V72" si="27">J59*J36</f>
        <v>15.802735590128627</v>
      </c>
      <c r="W59" s="28"/>
      <c r="X59" s="28"/>
      <c r="Y59" s="109"/>
      <c r="Z59" s="93"/>
    </row>
    <row r="60" spans="1:44" x14ac:dyDescent="0.3">
      <c r="A60" s="327" t="s">
        <v>119</v>
      </c>
      <c r="B60" s="326"/>
      <c r="C60" s="134" t="s">
        <v>205</v>
      </c>
      <c r="D60" s="135">
        <f>'Bite rates'!C167</f>
        <v>27.222876603750002</v>
      </c>
      <c r="E60" s="4">
        <f>'Bite rates'!D167</f>
        <v>14.506516196433331</v>
      </c>
      <c r="F60" s="4">
        <f>'Bite rates'!E167</f>
        <v>21.67</v>
      </c>
      <c r="G60" s="28"/>
      <c r="H60" s="4">
        <f>'Bite rates'!G167</f>
        <v>26.360813299166669</v>
      </c>
      <c r="I60" s="4">
        <f>'Bite rates'!H167</f>
        <v>14.143704061968748</v>
      </c>
      <c r="J60" s="4">
        <f>'Bite rates'!I167</f>
        <v>21.67</v>
      </c>
      <c r="K60" s="28"/>
      <c r="L60" s="28"/>
      <c r="M60" s="109"/>
      <c r="N60" s="134"/>
      <c r="O60" s="136"/>
      <c r="P60" s="158">
        <f t="shared" si="22"/>
        <v>25.746035547996563</v>
      </c>
      <c r="Q60" s="159">
        <f t="shared" si="23"/>
        <v>14.085827226736766</v>
      </c>
      <c r="R60" s="159">
        <f t="shared" si="24"/>
        <v>21.511086666666667</v>
      </c>
      <c r="S60" s="28"/>
      <c r="T60" s="159">
        <f t="shared" si="25"/>
        <v>24.930739177686878</v>
      </c>
      <c r="U60" s="159">
        <f t="shared" si="26"/>
        <v>13.733536644171656</v>
      </c>
      <c r="V60" s="159">
        <f t="shared" si="27"/>
        <v>21.511086666666667</v>
      </c>
      <c r="W60" s="28"/>
      <c r="X60" s="28"/>
      <c r="Y60" s="109"/>
      <c r="Z60" s="93"/>
    </row>
    <row r="61" spans="1:44" x14ac:dyDescent="0.3">
      <c r="A61" s="327"/>
      <c r="B61" s="326"/>
      <c r="C61" s="134" t="s">
        <v>236</v>
      </c>
      <c r="D61" s="135">
        <f>'Bite rates'!C168</f>
        <v>16.818333333333332</v>
      </c>
      <c r="E61" s="4">
        <f>'Bite rates'!D168</f>
        <v>16.818333333333332</v>
      </c>
      <c r="F61" s="4">
        <f>'Bite rates'!E168</f>
        <v>15.528333333333334</v>
      </c>
      <c r="G61" s="4">
        <f>'Bite rates'!F168</f>
        <v>15.023333333333333</v>
      </c>
      <c r="H61" s="4">
        <f>'Bite rates'!G168</f>
        <v>16.818333333333332</v>
      </c>
      <c r="I61" s="4">
        <f>'Bite rates'!H168</f>
        <v>16.818333333333332</v>
      </c>
      <c r="J61" s="4">
        <f>'Bite rates'!I168</f>
        <v>15.528333333333334</v>
      </c>
      <c r="K61" s="4">
        <f>'Bite rates'!J168</f>
        <v>15.023333333333333</v>
      </c>
      <c r="L61" s="4">
        <f>'Bite rates'!K168</f>
        <v>7.0073664274277245</v>
      </c>
      <c r="M61" s="109"/>
      <c r="N61" s="134"/>
      <c r="O61" s="136"/>
      <c r="P61" s="158">
        <f t="shared" si="22"/>
        <v>10.259183333333333</v>
      </c>
      <c r="Q61" s="159">
        <f t="shared" si="23"/>
        <v>10.259183333333333</v>
      </c>
      <c r="R61" s="159">
        <f t="shared" si="24"/>
        <v>9.4722833333333334</v>
      </c>
      <c r="S61" s="159">
        <f t="shared" ref="S61:S67" si="28">G61*G38</f>
        <v>9.1642333333333337</v>
      </c>
      <c r="T61" s="159">
        <f t="shared" si="25"/>
        <v>10.259183333333333</v>
      </c>
      <c r="U61" s="159">
        <f t="shared" si="26"/>
        <v>10.259183333333333</v>
      </c>
      <c r="V61" s="159">
        <f t="shared" si="27"/>
        <v>9.4722833333333334</v>
      </c>
      <c r="W61" s="159">
        <f t="shared" ref="W61:X66" si="29">K61*K38</f>
        <v>9.1642333333333337</v>
      </c>
      <c r="X61" s="159">
        <f t="shared" si="29"/>
        <v>4.2744935207309123</v>
      </c>
      <c r="Y61" s="109"/>
      <c r="Z61" s="93"/>
    </row>
    <row r="62" spans="1:44" x14ac:dyDescent="0.3">
      <c r="A62" s="327"/>
      <c r="B62" s="110"/>
      <c r="C62" s="131" t="s">
        <v>17</v>
      </c>
      <c r="D62" s="132">
        <f>'Bite rates'!C169</f>
        <v>18.2233111253129</v>
      </c>
      <c r="E62" s="7">
        <f>'Bite rates'!D169</f>
        <v>13.898077453930677</v>
      </c>
      <c r="F62" s="7">
        <f>'Bite rates'!E169</f>
        <v>12.77371266577873</v>
      </c>
      <c r="G62" s="7">
        <f>'Bite rates'!F169</f>
        <v>12.031062514026845</v>
      </c>
      <c r="H62" s="7">
        <f>'Bite rates'!G169</f>
        <v>17.809208768307794</v>
      </c>
      <c r="I62" s="7">
        <f>'Bite rates'!H169</f>
        <v>14.040477465101432</v>
      </c>
      <c r="J62" s="7">
        <f>'Bite rates'!I169</f>
        <v>13.438335499403729</v>
      </c>
      <c r="K62" s="7">
        <f>'Bite rates'!J169</f>
        <v>11.281401740476841</v>
      </c>
      <c r="L62" s="7">
        <f>'Bite rates'!K169</f>
        <v>9.8060214936725849</v>
      </c>
      <c r="M62" s="7">
        <f>'Bite rates'!L169</f>
        <v>9.6752167961757163</v>
      </c>
      <c r="N62" s="134"/>
      <c r="O62" s="136"/>
      <c r="P62" s="155">
        <f t="shared" si="22"/>
        <v>14.031949566490933</v>
      </c>
      <c r="Q62" s="156">
        <f t="shared" si="23"/>
        <v>10.701519639526621</v>
      </c>
      <c r="R62" s="156">
        <f t="shared" si="24"/>
        <v>9.8357587526496228</v>
      </c>
      <c r="S62" s="156">
        <f t="shared" si="28"/>
        <v>9.3240734483708057</v>
      </c>
      <c r="T62" s="156">
        <f t="shared" si="25"/>
        <v>13.713090751597003</v>
      </c>
      <c r="U62" s="156">
        <f t="shared" si="26"/>
        <v>10.811167648128103</v>
      </c>
      <c r="V62" s="156">
        <f t="shared" si="27"/>
        <v>10.347518334540872</v>
      </c>
      <c r="W62" s="156">
        <f t="shared" si="29"/>
        <v>8.7430863488695518</v>
      </c>
      <c r="X62" s="156">
        <f t="shared" si="29"/>
        <v>7.5996666575962539</v>
      </c>
      <c r="Y62" s="157">
        <f>M62*M39</f>
        <v>7.4982930170361799</v>
      </c>
      <c r="Z62" s="93"/>
    </row>
    <row r="63" spans="1:44" ht="14.55" customHeight="1" x14ac:dyDescent="0.3">
      <c r="A63" s="327"/>
      <c r="B63" s="23"/>
      <c r="C63" s="137" t="s">
        <v>29</v>
      </c>
      <c r="D63" s="138">
        <f>'Bite rates'!C170</f>
        <v>13.325185186666667</v>
      </c>
      <c r="E63" s="9">
        <f>'Bite rates'!D170</f>
        <v>15.142918968749999</v>
      </c>
      <c r="F63" s="9">
        <f>'Bite rates'!E170</f>
        <v>11.217021892333335</v>
      </c>
      <c r="G63" s="9">
        <f>'Bite rates'!F170</f>
        <v>10.798888888888889</v>
      </c>
      <c r="H63" s="9">
        <f>'Bite rates'!G170</f>
        <v>12.21</v>
      </c>
      <c r="I63" s="9">
        <f>'Bite rates'!H170</f>
        <v>15.646666666666667</v>
      </c>
      <c r="J63" s="9">
        <f>'Bite rates'!I170</f>
        <v>12.21</v>
      </c>
      <c r="K63" s="9">
        <f>'Bite rates'!J170</f>
        <v>10.92</v>
      </c>
      <c r="L63" s="9">
        <f>'Bite rates'!K170</f>
        <v>10.92</v>
      </c>
      <c r="M63" s="9">
        <f>'Bite rates'!L170</f>
        <v>10.92</v>
      </c>
      <c r="N63" s="134"/>
      <c r="O63" s="136"/>
      <c r="P63" s="161">
        <f t="shared" si="22"/>
        <v>11.459659260533334</v>
      </c>
      <c r="Q63" s="162">
        <f t="shared" si="23"/>
        <v>13.022910313124999</v>
      </c>
      <c r="R63" s="162">
        <f t="shared" si="24"/>
        <v>9.6466388274066688</v>
      </c>
      <c r="S63" s="162">
        <f t="shared" si="28"/>
        <v>9.2870444444444455</v>
      </c>
      <c r="T63" s="162">
        <f t="shared" si="25"/>
        <v>10.5006</v>
      </c>
      <c r="U63" s="162">
        <f t="shared" si="26"/>
        <v>13.456133333333334</v>
      </c>
      <c r="V63" s="162">
        <f t="shared" si="27"/>
        <v>10.5006</v>
      </c>
      <c r="W63" s="162">
        <f t="shared" si="29"/>
        <v>9.3911999999999995</v>
      </c>
      <c r="X63" s="162">
        <f t="shared" si="29"/>
        <v>9.3911999999999995</v>
      </c>
      <c r="Y63" s="163">
        <f>M63*M40</f>
        <v>9.3911999999999995</v>
      </c>
      <c r="Z63" s="93"/>
    </row>
    <row r="64" spans="1:44" x14ac:dyDescent="0.3">
      <c r="A64" s="327"/>
      <c r="B64" s="326" t="s">
        <v>120</v>
      </c>
      <c r="C64" s="131" t="s">
        <v>201</v>
      </c>
      <c r="D64" s="132">
        <f>'Bite rates'!C171</f>
        <v>12.857187610874998</v>
      </c>
      <c r="E64" s="7">
        <f>'Bite rates'!D171</f>
        <v>8.4797801664999994</v>
      </c>
      <c r="F64" s="7">
        <f>'Bite rates'!E171</f>
        <v>5.5623628052500003</v>
      </c>
      <c r="G64" s="7">
        <f>'Bite rates'!F171</f>
        <v>2.904825046</v>
      </c>
      <c r="H64" s="7">
        <f>'Bite rates'!G171</f>
        <v>12.857187610874998</v>
      </c>
      <c r="I64" s="7">
        <f>'Bite rates'!H171</f>
        <v>7.5064468331666667</v>
      </c>
      <c r="J64" s="7">
        <f>'Bite rates'!I171</f>
        <v>5.5623628052500003</v>
      </c>
      <c r="K64" s="7">
        <f>'Bite rates'!J171</f>
        <v>2.904825046</v>
      </c>
      <c r="L64" s="7">
        <f>'Bite rates'!K171</f>
        <v>2.904825046</v>
      </c>
      <c r="M64" s="7">
        <f>'Bite rates'!L171</f>
        <v>2.904825046</v>
      </c>
      <c r="N64" s="134"/>
      <c r="O64" s="136"/>
      <c r="P64" s="155">
        <f t="shared" si="22"/>
        <v>12.535757920603123</v>
      </c>
      <c r="Q64" s="156">
        <f t="shared" si="23"/>
        <v>8.3949823648350002</v>
      </c>
      <c r="R64" s="156">
        <f t="shared" si="24"/>
        <v>5.5067391771974998</v>
      </c>
      <c r="S64" s="156">
        <f t="shared" si="28"/>
        <v>2.904825046</v>
      </c>
      <c r="T64" s="156">
        <f t="shared" si="25"/>
        <v>12.535757920603123</v>
      </c>
      <c r="U64" s="156">
        <f t="shared" si="26"/>
        <v>7.4313823648349997</v>
      </c>
      <c r="V64" s="156">
        <f t="shared" si="27"/>
        <v>5.5067391771974998</v>
      </c>
      <c r="W64" s="156">
        <f t="shared" si="29"/>
        <v>2.904825046</v>
      </c>
      <c r="X64" s="156">
        <f t="shared" si="29"/>
        <v>2.904825046</v>
      </c>
      <c r="Y64" s="157">
        <f>M64*M41</f>
        <v>2.904825046</v>
      </c>
      <c r="Z64" s="93"/>
      <c r="AA64" s="4"/>
    </row>
    <row r="65" spans="1:26" x14ac:dyDescent="0.3">
      <c r="A65" s="327"/>
      <c r="B65" s="326"/>
      <c r="C65" s="134" t="s">
        <v>27</v>
      </c>
      <c r="D65" s="135">
        <f>'Bite rates'!C172</f>
        <v>20.191257167426308</v>
      </c>
      <c r="E65" s="4">
        <f>'Bite rates'!D172</f>
        <v>17.790349402401603</v>
      </c>
      <c r="F65" s="4">
        <f>'Bite rates'!E172</f>
        <v>14.887248540717462</v>
      </c>
      <c r="G65" s="4">
        <f>'Bite rates'!F172</f>
        <v>13.947883576059192</v>
      </c>
      <c r="H65" s="4">
        <f>'Bite rates'!G172</f>
        <v>18.217593271612209</v>
      </c>
      <c r="I65" s="4">
        <f>'Bite rates'!H172</f>
        <v>15.432849164739565</v>
      </c>
      <c r="J65" s="4">
        <f>'Bite rates'!I172</f>
        <v>16.240123357240634</v>
      </c>
      <c r="K65" s="4">
        <f>'Bite rates'!J172</f>
        <v>13.947883576059192</v>
      </c>
      <c r="L65" s="4">
        <f>'Bite rates'!K172</f>
        <v>13.809648396607434</v>
      </c>
      <c r="M65" s="28"/>
      <c r="N65" s="134"/>
      <c r="O65" s="136"/>
      <c r="P65" s="158">
        <f t="shared" si="22"/>
        <v>19.686475738240649</v>
      </c>
      <c r="Q65" s="159">
        <f t="shared" si="23"/>
        <v>17.612445908377588</v>
      </c>
      <c r="R65" s="159">
        <f t="shared" si="24"/>
        <v>14.738376055310287</v>
      </c>
      <c r="S65" s="159">
        <f t="shared" si="28"/>
        <v>13.947883576059192</v>
      </c>
      <c r="T65" s="159">
        <f t="shared" si="25"/>
        <v>17.762153439821905</v>
      </c>
      <c r="U65" s="159">
        <f t="shared" si="26"/>
        <v>15.278520673092169</v>
      </c>
      <c r="V65" s="159">
        <f t="shared" si="27"/>
        <v>16.077722123668227</v>
      </c>
      <c r="W65" s="159">
        <f t="shared" si="29"/>
        <v>13.947883576059192</v>
      </c>
      <c r="X65" s="159">
        <f t="shared" si="29"/>
        <v>13.809648396607434</v>
      </c>
      <c r="Y65" s="109"/>
      <c r="Z65" s="93"/>
    </row>
    <row r="66" spans="1:26" x14ac:dyDescent="0.3">
      <c r="A66" s="106"/>
      <c r="B66" s="326"/>
      <c r="C66" s="134" t="s">
        <v>202</v>
      </c>
      <c r="D66" s="135">
        <f>'Bite rates'!C173</f>
        <v>26.068576813750003</v>
      </c>
      <c r="E66" s="4">
        <f>'Bite rates'!D173</f>
        <v>33.512391895999997</v>
      </c>
      <c r="F66" s="4">
        <f>'Bite rates'!E173</f>
        <v>27.008670952500001</v>
      </c>
      <c r="G66" s="4">
        <f>'Bite rates'!F173</f>
        <v>27.008670952500001</v>
      </c>
      <c r="H66" s="4">
        <f>'Bite rates'!G173</f>
        <v>35.3974563875</v>
      </c>
      <c r="I66" s="4">
        <f>'Bite rates'!H173</f>
        <v>30.659562019000003</v>
      </c>
      <c r="J66" s="4">
        <f>'Bite rates'!I173</f>
        <v>27.253315373333333</v>
      </c>
      <c r="K66" s="4">
        <f>'Bite rates'!J173</f>
        <v>25.876657686666668</v>
      </c>
      <c r="L66" s="4">
        <f>'Bite rates'!K173</f>
        <v>25.876657686666668</v>
      </c>
      <c r="M66" s="4">
        <f>'Bite rates'!L173</f>
        <v>25.876657686666668</v>
      </c>
      <c r="N66" s="134"/>
      <c r="O66" s="136"/>
      <c r="P66" s="158">
        <f t="shared" si="22"/>
        <v>25.416862393406252</v>
      </c>
      <c r="Q66" s="159">
        <f t="shared" si="23"/>
        <v>33.177267977039996</v>
      </c>
      <c r="R66" s="159">
        <f t="shared" si="24"/>
        <v>26.738584242975001</v>
      </c>
      <c r="S66" s="159">
        <f t="shared" si="28"/>
        <v>27.008670952500001</v>
      </c>
      <c r="T66" s="159">
        <f t="shared" si="25"/>
        <v>34.512519977812502</v>
      </c>
      <c r="U66" s="159">
        <f t="shared" si="26"/>
        <v>30.352966398810004</v>
      </c>
      <c r="V66" s="159">
        <f t="shared" si="27"/>
        <v>26.980782219599998</v>
      </c>
      <c r="W66" s="159">
        <f t="shared" si="29"/>
        <v>25.876657686666668</v>
      </c>
      <c r="X66" s="159">
        <f t="shared" si="29"/>
        <v>25.876657686666668</v>
      </c>
      <c r="Y66" s="160">
        <f>M66*M43</f>
        <v>25.876657686666668</v>
      </c>
      <c r="Z66" s="93"/>
    </row>
    <row r="67" spans="1:26" x14ac:dyDescent="0.3">
      <c r="A67" s="106"/>
      <c r="B67" s="326"/>
      <c r="C67" s="134" t="s">
        <v>233</v>
      </c>
      <c r="D67" s="135">
        <f>'Bite rates'!C174</f>
        <v>25.507989870791977</v>
      </c>
      <c r="E67" s="4">
        <f>'Bite rates'!D174</f>
        <v>23.129801327957306</v>
      </c>
      <c r="F67" s="4">
        <f>'Bite rates'!E174</f>
        <v>23.602806796726334</v>
      </c>
      <c r="G67" s="4">
        <f>'Bite rates'!F174</f>
        <v>17.221130304172995</v>
      </c>
      <c r="H67" s="4">
        <f>'Bite rates'!G174</f>
        <v>21.518625943344059</v>
      </c>
      <c r="I67" s="4">
        <f>'Bite rates'!H174</f>
        <v>19.642353488561703</v>
      </c>
      <c r="J67" s="4">
        <f>'Bite rates'!I174</f>
        <v>20.718739401393002</v>
      </c>
      <c r="K67" s="4">
        <f>'Bite rates'!J174</f>
        <v>13.871130304172993</v>
      </c>
      <c r="L67" s="28"/>
      <c r="M67" s="109"/>
      <c r="N67" s="134"/>
      <c r="O67" s="136"/>
      <c r="P67" s="158">
        <f t="shared" si="22"/>
        <v>25.337936604986698</v>
      </c>
      <c r="Q67" s="159">
        <f t="shared" si="23"/>
        <v>22.698045036502101</v>
      </c>
      <c r="R67" s="159">
        <f t="shared" si="24"/>
        <v>23.421851944618098</v>
      </c>
      <c r="S67" s="159">
        <f t="shared" si="28"/>
        <v>17.089101638507668</v>
      </c>
      <c r="T67" s="159">
        <f t="shared" si="25"/>
        <v>21.375168437055098</v>
      </c>
      <c r="U67" s="159">
        <f t="shared" si="26"/>
        <v>19.275696223441884</v>
      </c>
      <c r="V67" s="159">
        <f t="shared" si="27"/>
        <v>20.55989573264899</v>
      </c>
      <c r="W67" s="159">
        <f>K67*K44</f>
        <v>13.764784971840999</v>
      </c>
      <c r="X67" s="28"/>
      <c r="Y67" s="109"/>
      <c r="Z67" s="93"/>
    </row>
    <row r="68" spans="1:26" x14ac:dyDescent="0.3">
      <c r="A68" s="106"/>
      <c r="B68" s="326"/>
      <c r="C68" s="134" t="s">
        <v>122</v>
      </c>
      <c r="D68" s="135">
        <f>'Bite rates'!C175</f>
        <v>21.195</v>
      </c>
      <c r="E68" s="4">
        <f>'Bite rates'!D175</f>
        <v>20.114999999999998</v>
      </c>
      <c r="F68" s="4">
        <f>'Bite rates'!E175</f>
        <v>12.94</v>
      </c>
      <c r="G68" s="28"/>
      <c r="H68" s="4">
        <f>'Bite rates'!G175</f>
        <v>21.195</v>
      </c>
      <c r="I68" s="4">
        <f>'Bite rates'!H175</f>
        <v>20.114999999999998</v>
      </c>
      <c r="J68" s="4">
        <f>'Bite rates'!I175</f>
        <v>12.94</v>
      </c>
      <c r="K68" s="28"/>
      <c r="L68" s="28"/>
      <c r="M68" s="109"/>
      <c r="N68" s="134"/>
      <c r="O68" s="136"/>
      <c r="P68" s="158">
        <f t="shared" si="22"/>
        <v>19.499400000000001</v>
      </c>
      <c r="Q68" s="159">
        <f t="shared" si="23"/>
        <v>18.505800000000001</v>
      </c>
      <c r="R68" s="159">
        <f t="shared" si="24"/>
        <v>11.9048</v>
      </c>
      <c r="S68" s="28"/>
      <c r="T68" s="159">
        <f t="shared" si="25"/>
        <v>19.499400000000001</v>
      </c>
      <c r="U68" s="159">
        <f t="shared" si="26"/>
        <v>18.505800000000001</v>
      </c>
      <c r="V68" s="159">
        <f t="shared" si="27"/>
        <v>11.9048</v>
      </c>
      <c r="W68" s="28"/>
      <c r="X68" s="28"/>
      <c r="Y68" s="109"/>
      <c r="Z68" s="93"/>
    </row>
    <row r="69" spans="1:26" x14ac:dyDescent="0.3">
      <c r="A69" s="106"/>
      <c r="B69" s="326"/>
      <c r="C69" s="134" t="s">
        <v>234</v>
      </c>
      <c r="D69" s="135">
        <f>'Bite rates'!C176</f>
        <v>24.519538501972182</v>
      </c>
      <c r="E69" s="4">
        <f>'Bite rates'!D176</f>
        <v>18.829647755193541</v>
      </c>
      <c r="F69" s="4">
        <f>'Bite rates'!E176</f>
        <v>16.706161928134872</v>
      </c>
      <c r="G69" s="4">
        <f>'Bite rates'!F176</f>
        <v>15.742733760754003</v>
      </c>
      <c r="H69" s="4">
        <f>'Bite rates'!G176</f>
        <v>24.624620432820667</v>
      </c>
      <c r="I69" s="4">
        <f>'Bite rates'!H176</f>
        <v>18.863757011077379</v>
      </c>
      <c r="J69" s="4">
        <f>'Bite rates'!I176</f>
        <v>16.37413460893487</v>
      </c>
      <c r="K69" s="4">
        <f>'Bite rates'!J176</f>
        <v>15.410706441554002</v>
      </c>
      <c r="L69" s="28"/>
      <c r="M69" s="109"/>
      <c r="N69" s="134"/>
      <c r="O69" s="136"/>
      <c r="P69" s="158">
        <f t="shared" si="22"/>
        <v>23.906550039422878</v>
      </c>
      <c r="Q69" s="159">
        <f t="shared" si="23"/>
        <v>18.641351277641604</v>
      </c>
      <c r="R69" s="159">
        <f t="shared" si="24"/>
        <v>16.539100308853524</v>
      </c>
      <c r="S69" s="159">
        <f>G69*G46</f>
        <v>15.742733760754003</v>
      </c>
      <c r="T69" s="159">
        <f t="shared" si="25"/>
        <v>24.009004922000148</v>
      </c>
      <c r="U69" s="159">
        <f t="shared" si="26"/>
        <v>18.675119440966604</v>
      </c>
      <c r="V69" s="159">
        <f t="shared" si="27"/>
        <v>16.210393262845521</v>
      </c>
      <c r="W69" s="159">
        <f>K69*K46</f>
        <v>15.410706441554002</v>
      </c>
      <c r="X69" s="28"/>
      <c r="Y69" s="109"/>
      <c r="Z69" s="93"/>
    </row>
    <row r="70" spans="1:26" x14ac:dyDescent="0.3">
      <c r="A70" s="106"/>
      <c r="B70" s="326"/>
      <c r="C70" s="134" t="s">
        <v>229</v>
      </c>
      <c r="D70" s="135">
        <f>'Bite rates'!C177</f>
        <v>17.592597309974529</v>
      </c>
      <c r="E70" s="4">
        <f>'Bite rates'!D177</f>
        <v>18.499819847114289</v>
      </c>
      <c r="F70" s="4">
        <f>'Bite rates'!E177</f>
        <v>19.293116815000001</v>
      </c>
      <c r="G70" s="28"/>
      <c r="H70" s="4">
        <f>'Bite rates'!G177</f>
        <v>16.3</v>
      </c>
      <c r="I70" s="4">
        <f>'Bite rates'!H177</f>
        <v>17.879172919249999</v>
      </c>
      <c r="J70" s="4">
        <f>'Bite rates'!I177</f>
        <v>19.293116815000001</v>
      </c>
      <c r="K70" s="28"/>
      <c r="L70" s="28"/>
      <c r="M70" s="109"/>
      <c r="N70" s="134"/>
      <c r="O70" s="136"/>
      <c r="P70" s="158">
        <f t="shared" si="22"/>
        <v>17.152782377225165</v>
      </c>
      <c r="Q70" s="159">
        <f t="shared" si="23"/>
        <v>18.314821648643147</v>
      </c>
      <c r="R70" s="159">
        <f t="shared" si="24"/>
        <v>19.100185646850001</v>
      </c>
      <c r="S70" s="28"/>
      <c r="T70" s="159">
        <f t="shared" si="25"/>
        <v>15.8925</v>
      </c>
      <c r="U70" s="159">
        <f t="shared" si="26"/>
        <v>17.700381190057499</v>
      </c>
      <c r="V70" s="159">
        <f t="shared" si="27"/>
        <v>19.100185646850001</v>
      </c>
      <c r="W70" s="28"/>
      <c r="X70" s="28"/>
      <c r="Y70" s="109"/>
      <c r="Z70" s="93"/>
    </row>
    <row r="71" spans="1:26" x14ac:dyDescent="0.3">
      <c r="A71" s="106"/>
      <c r="B71" s="326"/>
      <c r="C71" s="134" t="s">
        <v>227</v>
      </c>
      <c r="D71" s="135">
        <f>'Bite rates'!C178</f>
        <v>28.726598188221608</v>
      </c>
      <c r="E71" s="4">
        <f>'Bite rates'!D178</f>
        <v>17.17186134861111</v>
      </c>
      <c r="F71" s="4">
        <f>'Bite rates'!E178</f>
        <v>20.249101435000004</v>
      </c>
      <c r="G71" s="28"/>
      <c r="H71" s="4">
        <f>'Bite rates'!G178</f>
        <v>27.142330333833332</v>
      </c>
      <c r="I71" s="4">
        <f>'Bite rates'!H178</f>
        <v>20.409054503384617</v>
      </c>
      <c r="J71" s="4">
        <f>'Bite rates'!I178</f>
        <v>20.249101435000004</v>
      </c>
      <c r="K71" s="28"/>
      <c r="L71" s="28"/>
      <c r="M71" s="109"/>
      <c r="N71" s="134"/>
      <c r="O71" s="136"/>
      <c r="P71" s="158">
        <f t="shared" si="22"/>
        <v>28.008433233516069</v>
      </c>
      <c r="Q71" s="159">
        <f t="shared" si="23"/>
        <v>17.000142735124999</v>
      </c>
      <c r="R71" s="159">
        <f t="shared" si="24"/>
        <v>20.046610420650005</v>
      </c>
      <c r="S71" s="28"/>
      <c r="T71" s="159">
        <f t="shared" si="25"/>
        <v>26.463772075487498</v>
      </c>
      <c r="U71" s="159">
        <f t="shared" si="26"/>
        <v>20.204963958350771</v>
      </c>
      <c r="V71" s="159">
        <f t="shared" si="27"/>
        <v>20.046610420650005</v>
      </c>
      <c r="W71" s="28"/>
      <c r="X71" s="28"/>
      <c r="Y71" s="109"/>
      <c r="Z71" s="93"/>
    </row>
    <row r="72" spans="1:26" x14ac:dyDescent="0.3">
      <c r="A72" s="106"/>
      <c r="B72" s="326"/>
      <c r="C72" s="134" t="s">
        <v>235</v>
      </c>
      <c r="D72" s="135">
        <f>'Bite rates'!C179</f>
        <v>28.51740212478834</v>
      </c>
      <c r="E72" s="4">
        <f>'Bite rates'!D179</f>
        <v>26.226113776747503</v>
      </c>
      <c r="F72" s="4">
        <f>'Bite rates'!E179</f>
        <v>30.579243875294473</v>
      </c>
      <c r="G72" s="28"/>
      <c r="H72" s="4">
        <f>'Bite rates'!G179</f>
        <v>26.895311821576211</v>
      </c>
      <c r="I72" s="4">
        <f>'Bite rates'!H179</f>
        <v>22.800338282808148</v>
      </c>
      <c r="J72" s="4">
        <f>'Bite rates'!I179</f>
        <v>30.825723023529651</v>
      </c>
      <c r="K72" s="28"/>
      <c r="L72" s="28"/>
      <c r="M72" s="109"/>
      <c r="N72" s="134"/>
      <c r="O72" s="136"/>
      <c r="P72" s="158">
        <f t="shared" si="22"/>
        <v>27.804467071668633</v>
      </c>
      <c r="Q72" s="159">
        <f t="shared" si="23"/>
        <v>25.963852638980029</v>
      </c>
      <c r="R72" s="159">
        <f t="shared" si="24"/>
        <v>30.273451436541528</v>
      </c>
      <c r="S72" s="28"/>
      <c r="T72" s="159">
        <f t="shared" si="25"/>
        <v>26.222929026036805</v>
      </c>
      <c r="U72" s="159">
        <f t="shared" si="26"/>
        <v>22.572334899980067</v>
      </c>
      <c r="V72" s="159">
        <f t="shared" si="27"/>
        <v>30.517465793294356</v>
      </c>
      <c r="W72" s="28"/>
      <c r="X72" s="28"/>
      <c r="Y72" s="109"/>
      <c r="Z72" s="93"/>
    </row>
    <row r="73" spans="1:26" x14ac:dyDescent="0.3">
      <c r="A73" s="106"/>
      <c r="B73" s="326"/>
      <c r="C73" s="134" t="s">
        <v>28</v>
      </c>
      <c r="D73" s="135">
        <f>'Bite rates'!C180</f>
        <v>27.57667815005798</v>
      </c>
      <c r="E73" s="4">
        <f>'Bite rates'!D180</f>
        <v>24.681001535645056</v>
      </c>
      <c r="F73" s="28"/>
      <c r="G73" s="28"/>
      <c r="H73" s="4">
        <f>'Bite rates'!G180</f>
        <v>25.605340792171614</v>
      </c>
      <c r="I73" s="4">
        <f>'Bite rates'!H180</f>
        <v>23.530016056292613</v>
      </c>
      <c r="J73" s="28"/>
      <c r="K73" s="28"/>
      <c r="L73" s="28"/>
      <c r="M73" s="109"/>
      <c r="N73" s="134"/>
      <c r="O73" s="136"/>
      <c r="P73" s="158">
        <f>D73*D50</f>
        <v>27.025144587056818</v>
      </c>
      <c r="Q73" s="159">
        <f>E73*E50</f>
        <v>24.434191520288604</v>
      </c>
      <c r="R73" s="28"/>
      <c r="S73" s="28"/>
      <c r="T73" s="159">
        <f>H73*H50</f>
        <v>25.093233976328182</v>
      </c>
      <c r="U73" s="159">
        <f>I73*I50</f>
        <v>23.294715895729688</v>
      </c>
      <c r="V73" s="28"/>
      <c r="W73" s="28"/>
      <c r="X73" s="28"/>
      <c r="Y73" s="109"/>
      <c r="Z73" s="93"/>
    </row>
    <row r="74" spans="1:26" ht="15" thickBot="1" x14ac:dyDescent="0.35">
      <c r="A74" s="106"/>
      <c r="B74" s="326"/>
      <c r="C74" s="139" t="s">
        <v>228</v>
      </c>
      <c r="D74" s="140">
        <f>'Bite rates'!C181</f>
        <v>55.570311455888884</v>
      </c>
      <c r="E74" s="124">
        <f>'Bite rates'!D181</f>
        <v>45.78029021541667</v>
      </c>
      <c r="F74" s="125"/>
      <c r="G74" s="125"/>
      <c r="H74" s="124">
        <f>'Bite rates'!G181</f>
        <v>52.255834486388892</v>
      </c>
      <c r="I74" s="124">
        <f>'Bite rates'!H181</f>
        <v>49.631093291455024</v>
      </c>
      <c r="J74" s="125"/>
      <c r="K74" s="125"/>
      <c r="L74" s="125"/>
      <c r="M74" s="126"/>
      <c r="N74" s="139"/>
      <c r="O74" s="141"/>
      <c r="P74" s="164">
        <f>D74*D51</f>
        <v>54.458905226771108</v>
      </c>
      <c r="Q74" s="165">
        <f>E74*E51</f>
        <v>45.322487313262506</v>
      </c>
      <c r="R74" s="125"/>
      <c r="S74" s="125"/>
      <c r="T74" s="165">
        <f>H74*H51</f>
        <v>51.210717796661115</v>
      </c>
      <c r="U74" s="165">
        <f>I74*I51</f>
        <v>49.13478235854047</v>
      </c>
      <c r="V74" s="125"/>
      <c r="W74" s="125"/>
      <c r="X74" s="125"/>
      <c r="Y74" s="126"/>
      <c r="Z74" s="93"/>
    </row>
    <row r="75" spans="1:26" ht="18" customHeight="1" x14ac:dyDescent="0.3">
      <c r="A75" s="92"/>
      <c r="B75" s="23"/>
      <c r="C75" s="175"/>
      <c r="D75" s="142"/>
      <c r="E75" s="142"/>
      <c r="F75" s="143"/>
      <c r="G75" s="142"/>
      <c r="H75" s="142"/>
      <c r="I75" s="142"/>
      <c r="J75" s="142"/>
      <c r="K75" s="142"/>
      <c r="L75" s="142"/>
      <c r="M75" s="144"/>
      <c r="N75" s="331" t="s">
        <v>270</v>
      </c>
      <c r="O75" s="332"/>
      <c r="P75" s="142"/>
      <c r="Q75" s="142"/>
      <c r="R75" s="143"/>
      <c r="S75" s="142"/>
      <c r="T75" s="142"/>
      <c r="U75" s="142"/>
      <c r="V75" s="142"/>
      <c r="W75" s="142"/>
      <c r="X75" s="142"/>
      <c r="Y75" s="144"/>
      <c r="Z75" s="93"/>
    </row>
    <row r="76" spans="1:26" ht="17.25" customHeight="1" x14ac:dyDescent="0.3">
      <c r="A76" s="92"/>
      <c r="B76" s="23"/>
      <c r="C76" s="176" t="s">
        <v>258</v>
      </c>
      <c r="D76" s="145"/>
      <c r="E76" s="145"/>
      <c r="F76" s="146"/>
      <c r="G76" s="145"/>
      <c r="H76" s="145"/>
      <c r="I76" s="145"/>
      <c r="J76" s="145"/>
      <c r="K76" s="145"/>
      <c r="L76" s="145"/>
      <c r="M76" s="147"/>
      <c r="N76" s="333"/>
      <c r="O76" s="334"/>
      <c r="P76" s="145"/>
      <c r="Q76" s="145"/>
      <c r="R76" s="146"/>
      <c r="S76" s="145"/>
      <c r="T76" s="145"/>
      <c r="U76" s="145"/>
      <c r="V76" s="145"/>
      <c r="W76" s="145"/>
      <c r="X76" s="145"/>
      <c r="Y76" s="147"/>
      <c r="Z76" s="93"/>
    </row>
    <row r="77" spans="1:26" ht="14.55" customHeight="1" x14ac:dyDescent="0.3">
      <c r="A77" s="106"/>
      <c r="B77" s="326" t="s">
        <v>118</v>
      </c>
      <c r="C77" s="131" t="s">
        <v>63</v>
      </c>
      <c r="D77" s="233">
        <f>'Bite areas'!C68</f>
        <v>0.14431863994699767</v>
      </c>
      <c r="E77" s="15">
        <f>'Bite areas'!D68</f>
        <v>0.47306531450529649</v>
      </c>
      <c r="F77" s="15">
        <f>'Bite areas'!E68</f>
        <v>1.0340398456028981</v>
      </c>
      <c r="G77" s="15">
        <f>'Bite areas'!F68</f>
        <v>1.8543851275999079</v>
      </c>
      <c r="H77" s="15">
        <f>'Bite areas'!G68</f>
        <v>0.14431863994699767</v>
      </c>
      <c r="I77" s="15">
        <f>'Bite areas'!H68</f>
        <v>0.47306531450529649</v>
      </c>
      <c r="J77" s="15">
        <f>'Bite areas'!I68</f>
        <v>1.0340398456028981</v>
      </c>
      <c r="K77" s="15">
        <f>'Bite areas'!J68</f>
        <v>1.8543851275999079</v>
      </c>
      <c r="L77" s="15">
        <f>'Bite areas'!K68</f>
        <v>2.9562806374809716</v>
      </c>
      <c r="M77" s="15">
        <f>'Bite areas'!L68</f>
        <v>4.3587369934757145</v>
      </c>
      <c r="N77" s="131"/>
      <c r="O77" s="133"/>
      <c r="P77" s="250">
        <f t="shared" ref="P77:Y78" si="30">P57*60*(12*($T$37/100))*D77/10000</f>
        <v>3.7287075641882363E-2</v>
      </c>
      <c r="Q77" s="166">
        <f t="shared" si="30"/>
        <v>0.10856413427925796</v>
      </c>
      <c r="R77" s="166">
        <f t="shared" si="30"/>
        <v>0.23987392900944773</v>
      </c>
      <c r="S77" s="166">
        <f t="shared" si="30"/>
        <v>0.44935458706411646</v>
      </c>
      <c r="T77" s="156">
        <f t="shared" si="30"/>
        <v>3.0966649511117897E-2</v>
      </c>
      <c r="U77" s="156">
        <f t="shared" si="30"/>
        <v>9.9155293502317721E-2</v>
      </c>
      <c r="V77" s="156">
        <f t="shared" si="30"/>
        <v>0.24396237553199907</v>
      </c>
      <c r="W77" s="156">
        <f t="shared" si="30"/>
        <v>0.39786401324485871</v>
      </c>
      <c r="X77" s="156">
        <f t="shared" si="30"/>
        <v>0.68321571894766719</v>
      </c>
      <c r="Y77" s="157">
        <f t="shared" si="30"/>
        <v>1.0033858981567692</v>
      </c>
      <c r="Z77" s="93"/>
    </row>
    <row r="78" spans="1:26" x14ac:dyDescent="0.3">
      <c r="A78" s="106"/>
      <c r="B78" s="326"/>
      <c r="C78" s="134" t="s">
        <v>51</v>
      </c>
      <c r="D78" s="245">
        <f>'Bite areas'!C69</f>
        <v>7.9898822280795367E-2</v>
      </c>
      <c r="E78" s="14">
        <f>'Bite areas'!D69</f>
        <v>0.2637100510088381</v>
      </c>
      <c r="F78" s="14">
        <f>'Bite areas'!E69</f>
        <v>0.84140392458921132</v>
      </c>
      <c r="G78" s="14">
        <f>'Bite areas'!F69</f>
        <v>1.3750032929861102</v>
      </c>
      <c r="H78" s="14">
        <f>'Bite areas'!G69</f>
        <v>7.9898822280795367E-2</v>
      </c>
      <c r="I78" s="14">
        <f>'Bite areas'!H69</f>
        <v>0.2637100510088381</v>
      </c>
      <c r="J78" s="14">
        <f>'Bite areas'!I69</f>
        <v>0.84140392458921132</v>
      </c>
      <c r="K78" s="14">
        <f>'Bite areas'!J69</f>
        <v>1.3750032929861102</v>
      </c>
      <c r="L78" s="14">
        <f>'Bite areas'!K69</f>
        <v>1.7697009249322193</v>
      </c>
      <c r="M78" s="14">
        <f>'Bite areas'!L69</f>
        <v>2.6546986595323658</v>
      </c>
      <c r="N78" s="134"/>
      <c r="O78" s="136"/>
      <c r="P78" s="251">
        <f t="shared" si="30"/>
        <v>4.3957435398291313E-2</v>
      </c>
      <c r="Q78" s="168">
        <f t="shared" si="30"/>
        <v>0.13363689619553112</v>
      </c>
      <c r="R78" s="168">
        <f t="shared" si="30"/>
        <v>0.38795433205890273</v>
      </c>
      <c r="S78" s="168">
        <f t="shared" si="30"/>
        <v>0.59515515140821751</v>
      </c>
      <c r="T78" s="159">
        <f t="shared" si="30"/>
        <v>4.3622057951999291E-2</v>
      </c>
      <c r="U78" s="159">
        <f t="shared" si="30"/>
        <v>0.13560117561203533</v>
      </c>
      <c r="V78" s="159">
        <f t="shared" si="30"/>
        <v>0.36462960586953047</v>
      </c>
      <c r="W78" s="159">
        <f t="shared" si="30"/>
        <v>0.54246277564008549</v>
      </c>
      <c r="X78" s="159">
        <f t="shared" si="30"/>
        <v>0.66154813773286691</v>
      </c>
      <c r="Y78" s="160">
        <f t="shared" si="30"/>
        <v>0.92785263165218279</v>
      </c>
      <c r="Z78" s="93"/>
    </row>
    <row r="79" spans="1:26" ht="14.55" customHeight="1" x14ac:dyDescent="0.3">
      <c r="A79" s="23"/>
      <c r="B79" s="326"/>
      <c r="C79" s="134" t="s">
        <v>232</v>
      </c>
      <c r="D79" s="245">
        <f>'Bite areas'!C70</f>
        <v>0.14435323019993032</v>
      </c>
      <c r="E79" s="14">
        <f>'Bite areas'!D70</f>
        <v>0.28624821693863245</v>
      </c>
      <c r="F79" s="14">
        <f>'Bite areas'!E70</f>
        <v>0.64099650686689713</v>
      </c>
      <c r="G79" s="71"/>
      <c r="H79" s="14">
        <f>'Bite areas'!G70</f>
        <v>0.14435323019993032</v>
      </c>
      <c r="I79" s="14">
        <f>'Bite areas'!H70</f>
        <v>0.28624821693863245</v>
      </c>
      <c r="J79" s="14">
        <f>'Bite areas'!I70</f>
        <v>0.64099650686689713</v>
      </c>
      <c r="K79" s="71"/>
      <c r="L79" s="71"/>
      <c r="M79" s="71"/>
      <c r="N79" s="134"/>
      <c r="O79" s="136"/>
      <c r="P79" s="251">
        <f t="shared" ref="P79:R80" si="31">P59*60*(12*($T$38/100))*D79/10000</f>
        <v>0.15437779425364054</v>
      </c>
      <c r="Q79" s="168">
        <f t="shared" si="31"/>
        <v>0.26505063714866417</v>
      </c>
      <c r="R79" s="168">
        <f t="shared" si="31"/>
        <v>0.6396170414264184</v>
      </c>
      <c r="S79" s="70"/>
      <c r="T79" s="159">
        <f t="shared" ref="T79:V80" si="32">T59*60*(12*($T$38/100))*H79/10000</f>
        <v>0.13134150008231665</v>
      </c>
      <c r="U79" s="159">
        <f t="shared" si="32"/>
        <v>0.23366242169381807</v>
      </c>
      <c r="V79" s="159">
        <f t="shared" si="32"/>
        <v>0.6396170414264184</v>
      </c>
      <c r="W79" s="28"/>
      <c r="X79" s="28"/>
      <c r="Y79" s="109"/>
      <c r="Z79" s="93"/>
    </row>
    <row r="80" spans="1:26" x14ac:dyDescent="0.3">
      <c r="A80" s="327" t="s">
        <v>119</v>
      </c>
      <c r="B80" s="326"/>
      <c r="C80" s="134" t="s">
        <v>205</v>
      </c>
      <c r="D80" s="245">
        <f>'Bite areas'!C71</f>
        <v>0.14435323019993032</v>
      </c>
      <c r="E80" s="14">
        <f>'Bite areas'!D71</f>
        <v>0.28624821693863245</v>
      </c>
      <c r="F80" s="14">
        <f>'Bite areas'!E71</f>
        <v>0.64099650686689713</v>
      </c>
      <c r="G80" s="71"/>
      <c r="H80" s="14">
        <f>'Bite areas'!G71</f>
        <v>0.14435323019993032</v>
      </c>
      <c r="I80" s="14">
        <f>'Bite areas'!H71</f>
        <v>0.28624821693863245</v>
      </c>
      <c r="J80" s="14">
        <f>'Bite areas'!I71</f>
        <v>0.64099650686689713</v>
      </c>
      <c r="K80" s="71"/>
      <c r="L80" s="71"/>
      <c r="M80" s="71"/>
      <c r="N80" s="134"/>
      <c r="O80" s="136"/>
      <c r="P80" s="251">
        <f t="shared" si="31"/>
        <v>0.23467615332937103</v>
      </c>
      <c r="Q80" s="168">
        <f t="shared" si="31"/>
        <v>0.2545993186304169</v>
      </c>
      <c r="R80" s="168">
        <f t="shared" si="31"/>
        <v>0.87066302749476177</v>
      </c>
      <c r="S80" s="70"/>
      <c r="T80" s="159">
        <f t="shared" si="32"/>
        <v>0.22724469400232275</v>
      </c>
      <c r="U80" s="159">
        <f t="shared" si="32"/>
        <v>0.24823171658353529</v>
      </c>
      <c r="V80" s="159">
        <f t="shared" si="32"/>
        <v>0.87066302749476177</v>
      </c>
      <c r="W80" s="28"/>
      <c r="X80" s="28"/>
      <c r="Y80" s="109"/>
      <c r="Z80" s="93"/>
    </row>
    <row r="81" spans="1:31" x14ac:dyDescent="0.3">
      <c r="A81" s="327"/>
      <c r="B81" s="326"/>
      <c r="C81" s="134" t="s">
        <v>48</v>
      </c>
      <c r="D81" s="245">
        <f>'Bite areas'!C72</f>
        <v>0.11212602624036284</v>
      </c>
      <c r="E81" s="14">
        <f>'Bite areas'!D72</f>
        <v>0.2749791339737353</v>
      </c>
      <c r="F81" s="14">
        <f>'Bite areas'!E72</f>
        <v>0.74120021572805417</v>
      </c>
      <c r="G81" s="14">
        <f>'Bite areas'!F72</f>
        <v>1.3750032929861102</v>
      </c>
      <c r="H81" s="14">
        <f>'Bite areas'!G72</f>
        <v>0.11212602624036284</v>
      </c>
      <c r="I81" s="14">
        <f>'Bite areas'!H72</f>
        <v>0.2749791339737353</v>
      </c>
      <c r="J81" s="14">
        <f>'Bite areas'!I72</f>
        <v>0.74120021572805417</v>
      </c>
      <c r="K81" s="14">
        <f>'Bite areas'!J72</f>
        <v>1.400730110466228</v>
      </c>
      <c r="L81" s="14">
        <f>'Bite areas'!K72</f>
        <v>1.7697009249322193</v>
      </c>
      <c r="M81" s="71"/>
      <c r="N81" s="134"/>
      <c r="O81" s="136"/>
      <c r="P81" s="251">
        <f t="shared" ref="P81:P86" si="33">P61*60*(12*($T$37/100))*D81/10000</f>
        <v>6.8950268290703304E-2</v>
      </c>
      <c r="Q81" s="168">
        <f t="shared" ref="Q81:Q86" si="34">Q61*60*(12*($T$37/100))*E81/10000</f>
        <v>0.16909441721577007</v>
      </c>
      <c r="R81" s="168">
        <f t="shared" ref="R81:R86" si="35">R61*60*(12*($T$37/100))*F81/10000</f>
        <v>0.42083025549922887</v>
      </c>
      <c r="S81" s="168">
        <f t="shared" ref="S81:S86" si="36">S61*60*(12*($T$37/100))*G81/10000</f>
        <v>0.75529500960092311</v>
      </c>
      <c r="T81" s="159">
        <f t="shared" ref="T81:T86" si="37">T61*60*(12*($T$37/100))*H81/10000</f>
        <v>6.8950268290703304E-2</v>
      </c>
      <c r="U81" s="159">
        <f t="shared" ref="U81:U86" si="38">U61*60*(12*($T$37/100))*I81/10000</f>
        <v>0.16909441721577007</v>
      </c>
      <c r="V81" s="159">
        <f>V61*60*(12*($T$37/100))*J81/10000</f>
        <v>0.42083025549922887</v>
      </c>
      <c r="W81" s="159">
        <f>W61*60*(12*($T$37/100))*K81/10000</f>
        <v>0.76942685710613701</v>
      </c>
      <c r="X81" s="159">
        <f>X61*60*(12*($T$37/100))*L81/10000</f>
        <v>0.45342063372702113</v>
      </c>
      <c r="Y81" s="109"/>
      <c r="Z81" s="93"/>
    </row>
    <row r="82" spans="1:31" x14ac:dyDescent="0.3">
      <c r="A82" s="327"/>
      <c r="B82" s="110"/>
      <c r="C82" s="131" t="s">
        <v>17</v>
      </c>
      <c r="D82" s="233">
        <f>'Bite areas'!C73</f>
        <v>0.11739250331870832</v>
      </c>
      <c r="E82" s="15">
        <f>'Bite areas'!D73</f>
        <v>0.29148981787645145</v>
      </c>
      <c r="F82" s="15">
        <f>'Bite areas'!E73</f>
        <v>0.53493769280568682</v>
      </c>
      <c r="G82" s="15">
        <f>'Bite areas'!F73</f>
        <v>0.8459545547365791</v>
      </c>
      <c r="H82" s="15">
        <f>'Bite areas'!G73</f>
        <v>0.11739250331870832</v>
      </c>
      <c r="I82" s="15">
        <f>'Bite areas'!H73</f>
        <v>0.29148981787645145</v>
      </c>
      <c r="J82" s="15">
        <f>'Bite areas'!I73</f>
        <v>0.53493769280568682</v>
      </c>
      <c r="K82" s="15">
        <f>'Bite areas'!J73</f>
        <v>0.8459545547365791</v>
      </c>
      <c r="L82" s="15">
        <f>'Bite areas'!K73</f>
        <v>1.223753030883189</v>
      </c>
      <c r="M82" s="15">
        <f>'Bite areas'!L73</f>
        <v>1.6680200405467589</v>
      </c>
      <c r="N82" s="134"/>
      <c r="O82" s="136"/>
      <c r="P82" s="250">
        <f t="shared" si="33"/>
        <v>9.8735906421970943E-2</v>
      </c>
      <c r="Q82" s="166">
        <f t="shared" si="34"/>
        <v>0.18697587760296938</v>
      </c>
      <c r="R82" s="166">
        <f t="shared" si="35"/>
        <v>0.31537539456249564</v>
      </c>
      <c r="S82" s="166">
        <f t="shared" si="36"/>
        <v>0.47279127959672024</v>
      </c>
      <c r="T82" s="156">
        <f t="shared" si="37"/>
        <v>9.6492254250901979E-2</v>
      </c>
      <c r="U82" s="156">
        <f t="shared" si="38"/>
        <v>0.18889163660975161</v>
      </c>
      <c r="V82" s="156">
        <f t="shared" ref="V82:V86" si="39">V62*60*(12*($T$37/100))*J82/10000</f>
        <v>0.33178453839358163</v>
      </c>
      <c r="W82" s="156">
        <f t="shared" ref="W82:Y84" si="40">W62*60*(12*($T$37/100))*K82/10000</f>
        <v>0.44333144793372742</v>
      </c>
      <c r="X82" s="156">
        <f t="shared" si="40"/>
        <v>0.55744889944976361</v>
      </c>
      <c r="Y82" s="157">
        <f t="shared" si="40"/>
        <v>0.74968774315715159</v>
      </c>
      <c r="Z82" s="93"/>
    </row>
    <row r="83" spans="1:31" ht="14.55" customHeight="1" x14ac:dyDescent="0.3">
      <c r="A83" s="327"/>
      <c r="B83" s="23"/>
      <c r="C83" s="137" t="s">
        <v>29</v>
      </c>
      <c r="D83" s="247">
        <f>'Bite areas'!C74</f>
        <v>0.11739250331870832</v>
      </c>
      <c r="E83" s="18">
        <f>'Bite areas'!D74</f>
        <v>0.48419999999999996</v>
      </c>
      <c r="F83" s="18">
        <f>'Bite areas'!E74</f>
        <v>0.53493769280568682</v>
      </c>
      <c r="G83" s="18">
        <f>'Bite areas'!F74</f>
        <v>0.8459545547365791</v>
      </c>
      <c r="H83" s="18">
        <f>'Bite areas'!G74</f>
        <v>0.11739250331870832</v>
      </c>
      <c r="I83" s="18">
        <f>'Bite areas'!H74</f>
        <v>0.48419999999999996</v>
      </c>
      <c r="J83" s="18">
        <f>'Bite areas'!I74</f>
        <v>0.53493769280568682</v>
      </c>
      <c r="K83" s="18">
        <f>'Bite areas'!J74</f>
        <v>0.8459545547365791</v>
      </c>
      <c r="L83" s="18">
        <f>'Bite areas'!K74</f>
        <v>1.223753030883189</v>
      </c>
      <c r="M83" s="18">
        <f>'Bite areas'!L74</f>
        <v>1.6680200405467589</v>
      </c>
      <c r="N83" s="134"/>
      <c r="O83" s="136"/>
      <c r="P83" s="252">
        <f t="shared" si="33"/>
        <v>8.0635968581139153E-2</v>
      </c>
      <c r="Q83" s="171">
        <f t="shared" si="34"/>
        <v>0.37796324882649052</v>
      </c>
      <c r="R83" s="171">
        <f t="shared" si="35"/>
        <v>0.30931142201670098</v>
      </c>
      <c r="S83" s="171">
        <f t="shared" si="36"/>
        <v>0.47091366781626021</v>
      </c>
      <c r="T83" s="162">
        <f t="shared" si="37"/>
        <v>7.3887541717684815E-2</v>
      </c>
      <c r="U83" s="162">
        <f t="shared" si="38"/>
        <v>0.39053665801440002</v>
      </c>
      <c r="V83" s="162">
        <f t="shared" si="39"/>
        <v>0.3366929742202992</v>
      </c>
      <c r="W83" s="162">
        <f t="shared" si="40"/>
        <v>0.47619503316166317</v>
      </c>
      <c r="X83" s="162">
        <f t="shared" si="40"/>
        <v>0.68886101724999449</v>
      </c>
      <c r="Y83" s="163">
        <f t="shared" si="40"/>
        <v>0.93894270569867644</v>
      </c>
      <c r="Z83" s="93"/>
    </row>
    <row r="84" spans="1:31" x14ac:dyDescent="0.3">
      <c r="A84" s="327"/>
      <c r="B84" s="326" t="s">
        <v>120</v>
      </c>
      <c r="C84" s="131" t="s">
        <v>201</v>
      </c>
      <c r="D84" s="233">
        <f>'Bite areas'!C75</f>
        <v>9.3009473288407307E-2</v>
      </c>
      <c r="E84" s="15">
        <f>'Bite areas'!D75</f>
        <v>0.20473213358637765</v>
      </c>
      <c r="F84" s="15">
        <f>'Bite areas'!E75</f>
        <v>0.35288479035961468</v>
      </c>
      <c r="G84" s="15">
        <f>'Bite areas'!F75</f>
        <v>0.53939401242031915</v>
      </c>
      <c r="H84" s="15">
        <f>'Bite areas'!G75</f>
        <v>9.3009473288407307E-2</v>
      </c>
      <c r="I84" s="15">
        <f>'Bite areas'!H75</f>
        <v>0.20473213358637765</v>
      </c>
      <c r="J84" s="15">
        <f>'Bite areas'!I75</f>
        <v>0.35288479035961468</v>
      </c>
      <c r="K84" s="15">
        <f>'Bite areas'!J75</f>
        <v>0.53939401242031915</v>
      </c>
      <c r="L84" s="15">
        <f>'Bite areas'!K75</f>
        <v>0.77151729411225378</v>
      </c>
      <c r="M84" s="15">
        <f>'Bite areas'!L75</f>
        <v>1.6680200405467589</v>
      </c>
      <c r="N84" s="134"/>
      <c r="O84" s="136"/>
      <c r="P84" s="250">
        <f t="shared" si="33"/>
        <v>6.9886697833488609E-2</v>
      </c>
      <c r="Q84" s="166">
        <f t="shared" si="34"/>
        <v>0.10302023569930267</v>
      </c>
      <c r="R84" s="166">
        <f t="shared" si="35"/>
        <v>0.11647807533661837</v>
      </c>
      <c r="S84" s="166">
        <f t="shared" si="36"/>
        <v>9.3916703502242224E-2</v>
      </c>
      <c r="T84" s="156">
        <f t="shared" si="37"/>
        <v>6.9886697833488609E-2</v>
      </c>
      <c r="U84" s="156">
        <f t="shared" si="38"/>
        <v>9.1195279456908071E-2</v>
      </c>
      <c r="V84" s="156">
        <f t="shared" si="39"/>
        <v>0.11647807533661837</v>
      </c>
      <c r="W84" s="156">
        <f t="shared" si="40"/>
        <v>9.3916703502242224E-2</v>
      </c>
      <c r="X84" s="156">
        <f t="shared" si="40"/>
        <v>0.1343328981960038</v>
      </c>
      <c r="Y84" s="157">
        <f t="shared" si="40"/>
        <v>0.29042766507714907</v>
      </c>
      <c r="Z84" s="93"/>
    </row>
    <row r="85" spans="1:31" x14ac:dyDescent="0.3">
      <c r="A85" s="327"/>
      <c r="B85" s="326"/>
      <c r="C85" s="134" t="s">
        <v>27</v>
      </c>
      <c r="D85" s="245">
        <f>'Bite areas'!C76</f>
        <v>9.3009473288407307E-2</v>
      </c>
      <c r="E85" s="14">
        <f>'Bite areas'!D76</f>
        <v>0.20473213358637765</v>
      </c>
      <c r="F85" s="14">
        <f>'Bite areas'!E76</f>
        <v>0.35288479035961468</v>
      </c>
      <c r="G85" s="14">
        <f>'Bite areas'!F76</f>
        <v>0.53939401242031915</v>
      </c>
      <c r="H85" s="14">
        <f>'Bite areas'!G76</f>
        <v>9.3009473288407307E-2</v>
      </c>
      <c r="I85" s="14">
        <f>'Bite areas'!H76</f>
        <v>0.20473213358637765</v>
      </c>
      <c r="J85" s="14">
        <f>'Bite areas'!I76</f>
        <v>0.35288479035961468</v>
      </c>
      <c r="K85" s="14">
        <f>'Bite areas'!J76</f>
        <v>0.53939401242031915</v>
      </c>
      <c r="L85" s="14">
        <f>'Bite areas'!K76</f>
        <v>0.77151729411225378</v>
      </c>
      <c r="M85" s="71"/>
      <c r="N85" s="134"/>
      <c r="O85" s="136"/>
      <c r="P85" s="251">
        <f t="shared" si="33"/>
        <v>0.10975186263476722</v>
      </c>
      <c r="Q85" s="168">
        <f t="shared" si="34"/>
        <v>0.21613366769209882</v>
      </c>
      <c r="R85" s="168">
        <f t="shared" si="35"/>
        <v>0.31174486774648896</v>
      </c>
      <c r="S85" s="168">
        <f t="shared" si="36"/>
        <v>0.4509528889185106</v>
      </c>
      <c r="T85" s="159">
        <f t="shared" si="37"/>
        <v>9.902378924218809E-2</v>
      </c>
      <c r="U85" s="159">
        <f t="shared" si="38"/>
        <v>0.18749256787861757</v>
      </c>
      <c r="V85" s="159">
        <f t="shared" si="39"/>
        <v>0.34007460104818382</v>
      </c>
      <c r="W85" s="159">
        <f>W65*60*(12*($T$37/100))*K85/10000</f>
        <v>0.4509528889185106</v>
      </c>
      <c r="X85" s="159">
        <f>X65*60*(12*($T$37/100))*L85/10000</f>
        <v>0.63862369086171589</v>
      </c>
      <c r="Y85" s="109"/>
      <c r="Z85" s="93"/>
    </row>
    <row r="86" spans="1:31" x14ac:dyDescent="0.3">
      <c r="A86" s="106"/>
      <c r="B86" s="326"/>
      <c r="C86" s="134" t="s">
        <v>202</v>
      </c>
      <c r="D86" s="245">
        <f>'Bite areas'!C77</f>
        <v>9.3009473288407307E-2</v>
      </c>
      <c r="E86" s="14">
        <f>'Bite areas'!D77</f>
        <v>0.20473213358637765</v>
      </c>
      <c r="F86" s="14">
        <f>'Bite areas'!E77</f>
        <v>0.35288479035961468</v>
      </c>
      <c r="G86" s="14">
        <f>'Bite areas'!F77</f>
        <v>0.53939401242031915</v>
      </c>
      <c r="H86" s="14">
        <f>'Bite areas'!G77</f>
        <v>9.3009473288407307E-2</v>
      </c>
      <c r="I86" s="14">
        <f>'Bite areas'!H77</f>
        <v>0.20473213358637765</v>
      </c>
      <c r="J86" s="14">
        <f>'Bite areas'!I77</f>
        <v>0.35288479035961468</v>
      </c>
      <c r="K86" s="14">
        <f>'Bite areas'!J77</f>
        <v>0.53939401242031915</v>
      </c>
      <c r="L86" s="14">
        <f>'Bite areas'!K77</f>
        <v>0.77151729411225378</v>
      </c>
      <c r="M86" s="14">
        <f>'Bite areas'!L77</f>
        <v>1.6680200405467589</v>
      </c>
      <c r="N86" s="134"/>
      <c r="O86" s="136"/>
      <c r="P86" s="251">
        <f t="shared" si="33"/>
        <v>0.14169869849224731</v>
      </c>
      <c r="Q86" s="168">
        <f t="shared" si="34"/>
        <v>0.40713962439881368</v>
      </c>
      <c r="R86" s="168">
        <f t="shared" si="35"/>
        <v>0.56557224332400213</v>
      </c>
      <c r="S86" s="168">
        <f t="shared" si="36"/>
        <v>0.87322482478883334</v>
      </c>
      <c r="T86" s="159">
        <f t="shared" si="37"/>
        <v>0.19240687882121901</v>
      </c>
      <c r="U86" s="159">
        <f t="shared" si="38"/>
        <v>0.37248080063594985</v>
      </c>
      <c r="V86" s="159">
        <f t="shared" si="39"/>
        <v>0.57069519417747983</v>
      </c>
      <c r="W86" s="159">
        <f>W66*60*(12*($T$37/100))*K86/10000</f>
        <v>0.83662539020523541</v>
      </c>
      <c r="X86" s="159">
        <f>X66*60*(12*($T$37/100))*L86/10000</f>
        <v>1.1966594778100221</v>
      </c>
      <c r="Y86" s="160">
        <f>Y66*60*(12*($T$37/100))*M86/10000</f>
        <v>2.5871772492074769</v>
      </c>
      <c r="Z86" s="93"/>
    </row>
    <row r="87" spans="1:31" x14ac:dyDescent="0.3">
      <c r="A87" s="106"/>
      <c r="B87" s="326"/>
      <c r="C87" s="134" t="s">
        <v>233</v>
      </c>
      <c r="D87" s="245">
        <f>'Bite areas'!C78</f>
        <v>5.3498812620357349E-2</v>
      </c>
      <c r="E87" s="14">
        <f>'Bite areas'!D78</f>
        <v>0.20029193924602223</v>
      </c>
      <c r="F87" s="14">
        <f>'Bite areas'!E78</f>
        <v>0.3533930994735891</v>
      </c>
      <c r="G87" s="14">
        <f>'Bite areas'!F78</f>
        <v>0.48666632820939676</v>
      </c>
      <c r="H87" s="14">
        <f>'Bite areas'!G78</f>
        <v>5.3498812620357349E-2</v>
      </c>
      <c r="I87" s="14">
        <f>'Bite areas'!H78</f>
        <v>0.20029193924602223</v>
      </c>
      <c r="J87" s="14">
        <f>'Bite areas'!I78</f>
        <v>0.3533930994735891</v>
      </c>
      <c r="K87" s="14">
        <f>'Bite areas'!J78</f>
        <v>0.48666632820939676</v>
      </c>
      <c r="L87" s="71"/>
      <c r="M87" s="246"/>
      <c r="N87" s="134"/>
      <c r="O87" s="136"/>
      <c r="P87" s="251">
        <f t="shared" ref="P87:W87" si="41">P67*60*(12*($T$38/100))*D87/10000</f>
        <v>8.5594819056107455E-2</v>
      </c>
      <c r="Q87" s="168">
        <f t="shared" si="41"/>
        <v>0.28706749172551049</v>
      </c>
      <c r="R87" s="168">
        <f t="shared" si="41"/>
        <v>0.52265051921255967</v>
      </c>
      <c r="S87" s="168">
        <f t="shared" si="41"/>
        <v>0.52514909525895259</v>
      </c>
      <c r="T87" s="159">
        <f t="shared" si="41"/>
        <v>7.2208076892238737E-2</v>
      </c>
      <c r="U87" s="159">
        <f t="shared" si="41"/>
        <v>0.24378424473243043</v>
      </c>
      <c r="V87" s="159">
        <f t="shared" si="41"/>
        <v>0.45878695694232791</v>
      </c>
      <c r="W87" s="159">
        <f t="shared" si="41"/>
        <v>0.42299264919273849</v>
      </c>
      <c r="X87" s="28"/>
      <c r="Y87" s="109"/>
      <c r="Z87" s="93"/>
    </row>
    <row r="88" spans="1:31" x14ac:dyDescent="0.3">
      <c r="A88" s="106"/>
      <c r="B88" s="326"/>
      <c r="C88" s="134" t="s">
        <v>122</v>
      </c>
      <c r="D88" s="245">
        <f>'Bite areas'!C79</f>
        <v>9.3009473288407307E-2</v>
      </c>
      <c r="E88" s="14">
        <f>'Bite areas'!D79</f>
        <v>0.20473213358637765</v>
      </c>
      <c r="F88" s="14">
        <f>'Bite areas'!E79</f>
        <v>0.35288479035961468</v>
      </c>
      <c r="G88" s="71"/>
      <c r="H88" s="14">
        <f>'Bite areas'!G79</f>
        <v>9.3009473288407307E-2</v>
      </c>
      <c r="I88" s="14">
        <f>'Bite areas'!H79</f>
        <v>0.20473213358637765</v>
      </c>
      <c r="J88" s="14">
        <f>'Bite areas'!I79</f>
        <v>0.35288479035961468</v>
      </c>
      <c r="K88" s="71"/>
      <c r="L88" s="71"/>
      <c r="M88" s="246"/>
      <c r="N88" s="134"/>
      <c r="O88" s="136"/>
      <c r="P88" s="251">
        <f t="shared" ref="P88:R92" si="42">P68*60*(12*($T$38/100))*D88/10000</f>
        <v>0.11451978474169346</v>
      </c>
      <c r="Q88" s="168">
        <f t="shared" si="42"/>
        <v>0.23923568821268773</v>
      </c>
      <c r="R88" s="168">
        <f t="shared" si="42"/>
        <v>0.26526938698393526</v>
      </c>
      <c r="S88" s="70"/>
      <c r="T88" s="159">
        <f t="shared" ref="T88:V92" si="43">T68*60*(12*($T$38/100))*H88/10000</f>
        <v>0.11451978474169346</v>
      </c>
      <c r="U88" s="159">
        <f t="shared" si="43"/>
        <v>0.23923568821268773</v>
      </c>
      <c r="V88" s="159">
        <f t="shared" si="43"/>
        <v>0.26526938698393526</v>
      </c>
      <c r="W88" s="28"/>
      <c r="X88" s="28"/>
      <c r="Y88" s="109"/>
      <c r="Z88" s="93"/>
    </row>
    <row r="89" spans="1:31" x14ac:dyDescent="0.3">
      <c r="A89" s="106"/>
      <c r="B89" s="326"/>
      <c r="C89" s="134" t="s">
        <v>234</v>
      </c>
      <c r="D89" s="245">
        <f>'Bite areas'!C80</f>
        <v>8.1750000000000003E-2</v>
      </c>
      <c r="E89" s="14">
        <f>'Bite areas'!D80</f>
        <v>0.24385000000000001</v>
      </c>
      <c r="F89" s="14">
        <f>'Bite areas'!E80</f>
        <v>0.37587500000000007</v>
      </c>
      <c r="G89" s="14">
        <f>'Bite areas'!F80</f>
        <v>0.40312500000000007</v>
      </c>
      <c r="H89" s="14">
        <f>'Bite areas'!G80</f>
        <v>8.1750000000000003E-2</v>
      </c>
      <c r="I89" s="14">
        <f>'Bite areas'!H80</f>
        <v>0.24385000000000001</v>
      </c>
      <c r="J89" s="14">
        <f>'Bite areas'!I80</f>
        <v>0.37587500000000007</v>
      </c>
      <c r="K89" s="14">
        <f>'Bite areas'!J80</f>
        <v>0.40312500000000007</v>
      </c>
      <c r="L89" s="71"/>
      <c r="M89" s="246"/>
      <c r="N89" s="134"/>
      <c r="O89" s="136"/>
      <c r="P89" s="251">
        <f t="shared" si="42"/>
        <v>0.12340613724760179</v>
      </c>
      <c r="Q89" s="168">
        <f t="shared" si="42"/>
        <v>0.28703327093563669</v>
      </c>
      <c r="R89" s="168">
        <f t="shared" si="42"/>
        <v>0.39254315804450718</v>
      </c>
      <c r="S89" s="168">
        <f>S69*60*(12*($T$38/100))*G89/10000</f>
        <v>0.40073010717496127</v>
      </c>
      <c r="T89" s="159">
        <f t="shared" si="43"/>
        <v>0.12393501160547307</v>
      </c>
      <c r="U89" s="159">
        <f t="shared" si="43"/>
        <v>0.28755322178191939</v>
      </c>
      <c r="V89" s="159">
        <f t="shared" si="43"/>
        <v>0.38474154250908471</v>
      </c>
      <c r="W89" s="159">
        <f>W69*60*(12*($T$38/100))*K89/10000</f>
        <v>0.39227837666677412</v>
      </c>
      <c r="X89" s="28"/>
      <c r="Y89" s="109"/>
      <c r="Z89" s="93"/>
    </row>
    <row r="90" spans="1:31" x14ac:dyDescent="0.3">
      <c r="A90" s="106"/>
      <c r="B90" s="326"/>
      <c r="C90" s="134" t="s">
        <v>229</v>
      </c>
      <c r="D90" s="245">
        <f>'Bite areas'!C81</f>
        <v>0.09</v>
      </c>
      <c r="E90" s="14">
        <f>'Bite areas'!D81</f>
        <v>0.2066666666666665</v>
      </c>
      <c r="F90" s="14">
        <f>'Bite areas'!E81</f>
        <v>0.21749999999999997</v>
      </c>
      <c r="G90" s="71"/>
      <c r="H90" s="14">
        <f>'Bite areas'!G81</f>
        <v>0.09</v>
      </c>
      <c r="I90" s="14">
        <f>'Bite areas'!H81</f>
        <v>0.2066666666666665</v>
      </c>
      <c r="J90" s="14">
        <f>'Bite areas'!I81</f>
        <v>0.21749999999999997</v>
      </c>
      <c r="K90" s="71"/>
      <c r="L90" s="71"/>
      <c r="M90" s="246"/>
      <c r="N90" s="134"/>
      <c r="O90" s="136"/>
      <c r="P90" s="251">
        <f t="shared" si="42"/>
        <v>9.7478576138475534E-2</v>
      </c>
      <c r="Q90" s="168">
        <f t="shared" si="42"/>
        <v>0.2390040269575972</v>
      </c>
      <c r="R90" s="168">
        <f t="shared" si="42"/>
        <v>0.26231851164042153</v>
      </c>
      <c r="S90" s="70"/>
      <c r="T90" s="159">
        <f t="shared" si="43"/>
        <v>9.0316441799999994E-2</v>
      </c>
      <c r="U90" s="159">
        <f t="shared" si="43"/>
        <v>0.23098572643876455</v>
      </c>
      <c r="V90" s="159">
        <f t="shared" si="43"/>
        <v>0.26231851164042153</v>
      </c>
      <c r="W90" s="28"/>
      <c r="X90" s="28"/>
      <c r="Y90" s="109"/>
      <c r="Z90" s="93"/>
    </row>
    <row r="91" spans="1:31" x14ac:dyDescent="0.3">
      <c r="A91" s="106"/>
      <c r="B91" s="326"/>
      <c r="C91" s="134" t="s">
        <v>227</v>
      </c>
      <c r="D91" s="245">
        <f>'Bite areas'!C82</f>
        <v>0.24956559174597434</v>
      </c>
      <c r="E91" s="14">
        <f>'Bite areas'!D82</f>
        <v>0.37522479228491973</v>
      </c>
      <c r="F91" s="14">
        <f>'Bite areas'!E82</f>
        <v>0.91286800916159339</v>
      </c>
      <c r="G91" s="71"/>
      <c r="H91" s="14">
        <f>'Bite areas'!G82</f>
        <v>0.24956559174597434</v>
      </c>
      <c r="I91" s="14">
        <f>'Bite areas'!H82</f>
        <v>0.37522479228491973</v>
      </c>
      <c r="J91" s="14">
        <f>'Bite areas'!I82</f>
        <v>0.91286800916159339</v>
      </c>
      <c r="K91" s="71"/>
      <c r="L91" s="71"/>
      <c r="M91" s="246"/>
      <c r="N91" s="134"/>
      <c r="O91" s="136"/>
      <c r="P91" s="251">
        <f t="shared" si="42"/>
        <v>0.44137284800419035</v>
      </c>
      <c r="Q91" s="168">
        <f t="shared" si="42"/>
        <v>0.40278768467971032</v>
      </c>
      <c r="R91" s="168">
        <f t="shared" si="42"/>
        <v>1.1555294756893197</v>
      </c>
      <c r="S91" s="70"/>
      <c r="T91" s="159">
        <f t="shared" si="43"/>
        <v>0.41703119744357703</v>
      </c>
      <c r="U91" s="159">
        <f t="shared" si="43"/>
        <v>0.47872013656720991</v>
      </c>
      <c r="V91" s="159">
        <f t="shared" si="43"/>
        <v>1.1555294756893197</v>
      </c>
      <c r="W91" s="28"/>
      <c r="X91" s="28"/>
      <c r="Y91" s="109"/>
      <c r="Z91" s="93"/>
    </row>
    <row r="92" spans="1:31" x14ac:dyDescent="0.3">
      <c r="A92" s="106"/>
      <c r="B92" s="326"/>
      <c r="C92" s="134" t="s">
        <v>235</v>
      </c>
      <c r="D92" s="245">
        <f>'Bite areas'!C83</f>
        <v>0.13392584363675464</v>
      </c>
      <c r="E92" s="14">
        <f>'Bite areas'!D83</f>
        <v>0.23025705825886392</v>
      </c>
      <c r="F92" s="14">
        <f>'Bite areas'!E83</f>
        <v>0.56857574573039171</v>
      </c>
      <c r="G92" s="71"/>
      <c r="H92" s="14">
        <f>'Bite areas'!G83</f>
        <v>0.13392584363675464</v>
      </c>
      <c r="I92" s="14">
        <f>'Bite areas'!H83</f>
        <v>0.23025705825886392</v>
      </c>
      <c r="J92" s="14">
        <f>'Bite areas'!I83</f>
        <v>0.56857574573039171</v>
      </c>
      <c r="K92" s="71"/>
      <c r="L92" s="71"/>
      <c r="M92" s="246"/>
      <c r="N92" s="134"/>
      <c r="O92" s="136"/>
      <c r="P92" s="251">
        <f t="shared" si="42"/>
        <v>0.23513163078110588</v>
      </c>
      <c r="Q92" s="168">
        <f t="shared" si="42"/>
        <v>0.37749758465972488</v>
      </c>
      <c r="R92" s="168">
        <f t="shared" si="42"/>
        <v>1.0868819002935537</v>
      </c>
      <c r="S92" s="70"/>
      <c r="T92" s="159">
        <f t="shared" si="43"/>
        <v>0.22175717484015053</v>
      </c>
      <c r="U92" s="159">
        <f t="shared" si="43"/>
        <v>0.3281871155007306</v>
      </c>
      <c r="V92" s="159">
        <f t="shared" si="43"/>
        <v>1.095642539572572</v>
      </c>
      <c r="W92" s="28"/>
      <c r="X92" s="28"/>
      <c r="Y92" s="109"/>
      <c r="Z92" s="93"/>
    </row>
    <row r="93" spans="1:31" x14ac:dyDescent="0.3">
      <c r="A93" s="106"/>
      <c r="B93" s="326"/>
      <c r="C93" s="134" t="s">
        <v>28</v>
      </c>
      <c r="D93" s="245">
        <f>'Bite areas'!C84</f>
        <v>3.1025316088940914E-2</v>
      </c>
      <c r="E93" s="14">
        <f>'Bite areas'!D84</f>
        <v>0.10884252108118435</v>
      </c>
      <c r="F93" s="71"/>
      <c r="G93" s="71"/>
      <c r="H93" s="14">
        <f>'Bite areas'!G84</f>
        <v>3.1025316088940914E-2</v>
      </c>
      <c r="I93" s="14">
        <f>'Bite areas'!H84</f>
        <v>0.10884252108118435</v>
      </c>
      <c r="J93" s="71"/>
      <c r="K93" s="71"/>
      <c r="L93" s="71"/>
      <c r="M93" s="246"/>
      <c r="N93" s="134"/>
      <c r="O93" s="136"/>
      <c r="P93" s="251">
        <f>P73*60*(12*($T$38/100))*D93/10000</f>
        <v>5.2943948915309853E-2</v>
      </c>
      <c r="Q93" s="168">
        <f>Q73*60*(12*($T$38/100))*E93/10000</f>
        <v>0.16793014233268205</v>
      </c>
      <c r="R93" s="70"/>
      <c r="S93" s="70"/>
      <c r="T93" s="159">
        <f>T73*60*(12*($T$38/100))*H93/10000</f>
        <v>4.9159215170264559E-2</v>
      </c>
      <c r="U93" s="159">
        <f>U73*60*(12*($T$38/100))*I93/10000</f>
        <v>0.16009880878281144</v>
      </c>
      <c r="V93" s="28"/>
      <c r="W93" s="28"/>
      <c r="X93" s="28"/>
      <c r="Y93" s="109"/>
      <c r="Z93" s="93"/>
    </row>
    <row r="94" spans="1:31" ht="15" thickBot="1" x14ac:dyDescent="0.35">
      <c r="A94" s="106"/>
      <c r="B94" s="326"/>
      <c r="C94" s="139" t="s">
        <v>228</v>
      </c>
      <c r="D94" s="248">
        <f>'Bite areas'!C85</f>
        <v>0.13200000000000001</v>
      </c>
      <c r="E94" s="148">
        <f>'Bite areas'!D85</f>
        <v>0.1835</v>
      </c>
      <c r="F94" s="149"/>
      <c r="G94" s="149"/>
      <c r="H94" s="148">
        <f>'Bite areas'!G85</f>
        <v>0.13200000000000001</v>
      </c>
      <c r="I94" s="148">
        <f>'Bite areas'!H85</f>
        <v>0.1835</v>
      </c>
      <c r="J94" s="149"/>
      <c r="K94" s="149"/>
      <c r="L94" s="149"/>
      <c r="M94" s="249"/>
      <c r="N94" s="139"/>
      <c r="O94" s="141"/>
      <c r="P94" s="253">
        <f>P74*60*(12*($T$38/100))*D94/10000</f>
        <v>0.45391541073637909</v>
      </c>
      <c r="Q94" s="173">
        <f>Q74*60*(12*($T$38/100))*E94/10000</f>
        <v>0.52514821598973682</v>
      </c>
      <c r="R94" s="151"/>
      <c r="S94" s="151"/>
      <c r="T94" s="165">
        <f>T74*60*(12*($T$38/100))*H94/10000</f>
        <v>0.42684174252091278</v>
      </c>
      <c r="U94" s="165">
        <f>U74*60*(12*($T$38/100))*I94/10000</f>
        <v>0.5693209889449492</v>
      </c>
      <c r="V94" s="125"/>
      <c r="W94" s="125"/>
      <c r="X94" s="125"/>
      <c r="Y94" s="126"/>
      <c r="Z94" s="93"/>
      <c r="AA94" s="367" t="s">
        <v>285</v>
      </c>
      <c r="AB94" s="346"/>
      <c r="AC94" s="346"/>
    </row>
    <row r="95" spans="1:31" x14ac:dyDescent="0.3">
      <c r="A95" s="92"/>
      <c r="B95" s="23"/>
      <c r="C95" s="175"/>
      <c r="D95" s="142"/>
      <c r="E95" s="142"/>
      <c r="F95" s="143"/>
      <c r="G95" s="142"/>
      <c r="H95" s="142"/>
      <c r="I95" s="142"/>
      <c r="J95" s="142"/>
      <c r="K95" s="142"/>
      <c r="L95" s="142"/>
      <c r="M95" s="144"/>
      <c r="N95" s="331" t="s">
        <v>306</v>
      </c>
      <c r="O95" s="332"/>
      <c r="P95" s="309"/>
      <c r="Q95" s="142"/>
      <c r="R95" s="143"/>
      <c r="S95" s="142"/>
      <c r="T95" s="142"/>
      <c r="U95" s="142"/>
      <c r="V95" s="142"/>
      <c r="W95" s="142"/>
      <c r="X95" s="142"/>
      <c r="Y95" s="144"/>
      <c r="Z95" s="93"/>
      <c r="AA95" t="s">
        <v>283</v>
      </c>
      <c r="AB95" t="s">
        <v>284</v>
      </c>
      <c r="AC95" t="s">
        <v>281</v>
      </c>
    </row>
    <row r="96" spans="1:31" x14ac:dyDescent="0.3">
      <c r="A96" s="92"/>
      <c r="B96" s="23"/>
      <c r="C96" s="95" t="s">
        <v>259</v>
      </c>
      <c r="D96" s="23"/>
      <c r="E96" s="23"/>
      <c r="F96" s="150"/>
      <c r="G96" s="23"/>
      <c r="H96" s="23"/>
      <c r="I96" s="23"/>
      <c r="J96" s="23"/>
      <c r="K96" s="23"/>
      <c r="L96" s="145"/>
      <c r="M96" s="147"/>
      <c r="N96" s="333"/>
      <c r="O96" s="334"/>
      <c r="P96" s="145"/>
      <c r="Q96" s="145"/>
      <c r="R96" s="146"/>
      <c r="S96" s="145"/>
      <c r="T96" s="145"/>
      <c r="U96" s="145"/>
      <c r="V96" s="145"/>
      <c r="W96" s="145"/>
      <c r="X96" s="145"/>
      <c r="Y96" s="147"/>
      <c r="Z96" s="93"/>
      <c r="AA96" s="65" t="s">
        <v>278</v>
      </c>
      <c r="AB96" s="65" t="s">
        <v>282</v>
      </c>
      <c r="AC96" s="65" t="s">
        <v>280</v>
      </c>
      <c r="AD96" s="65"/>
      <c r="AE96" s="65"/>
    </row>
    <row r="97" spans="1:31" ht="14.55" customHeight="1" x14ac:dyDescent="0.3">
      <c r="A97" s="106"/>
      <c r="B97" s="326" t="s">
        <v>118</v>
      </c>
      <c r="C97" s="131" t="s">
        <v>63</v>
      </c>
      <c r="D97" s="250">
        <f>(P77*$D$53)/1000</f>
        <v>7.457415128376472E-3</v>
      </c>
      <c r="E97" s="166">
        <f t="shared" ref="E97:M112" si="44">(Q77*$D$53)/1000</f>
        <v>2.1712826855851592E-2</v>
      </c>
      <c r="F97" s="166">
        <f t="shared" si="44"/>
        <v>4.7974785801889547E-2</v>
      </c>
      <c r="G97" s="166">
        <f t="shared" si="44"/>
        <v>8.9870917412823284E-2</v>
      </c>
      <c r="H97" s="166">
        <f t="shared" si="44"/>
        <v>6.1933299022235797E-3</v>
      </c>
      <c r="I97" s="166">
        <f t="shared" si="44"/>
        <v>1.9831058700463543E-2</v>
      </c>
      <c r="J97" s="166">
        <f t="shared" si="44"/>
        <v>4.8792475106399814E-2</v>
      </c>
      <c r="K97" s="166">
        <f t="shared" si="44"/>
        <v>7.9572802648971749E-2</v>
      </c>
      <c r="L97" s="166">
        <f t="shared" si="44"/>
        <v>0.13664314378953343</v>
      </c>
      <c r="M97" s="167">
        <f t="shared" si="44"/>
        <v>0.20067717963135381</v>
      </c>
      <c r="N97" s="131"/>
      <c r="O97" s="133"/>
      <c r="P97" s="155">
        <f t="shared" ref="P97:Y98" si="45">D97*365</f>
        <v>2.7219565218574124</v>
      </c>
      <c r="Q97" s="156">
        <f t="shared" si="45"/>
        <v>7.9251818023858309</v>
      </c>
      <c r="R97" s="156">
        <f t="shared" si="45"/>
        <v>17.510796817689684</v>
      </c>
      <c r="S97" s="156">
        <f t="shared" si="45"/>
        <v>32.802884855680496</v>
      </c>
      <c r="T97" s="156">
        <f t="shared" si="45"/>
        <v>2.2605654143116065</v>
      </c>
      <c r="U97" s="156">
        <f t="shared" si="45"/>
        <v>7.2383364256691936</v>
      </c>
      <c r="V97" s="156">
        <f t="shared" si="45"/>
        <v>17.809253413835933</v>
      </c>
      <c r="W97" s="156">
        <f t="shared" si="45"/>
        <v>29.044072966874687</v>
      </c>
      <c r="X97" s="156">
        <f t="shared" si="45"/>
        <v>49.874747483179704</v>
      </c>
      <c r="Y97" s="157">
        <f t="shared" si="45"/>
        <v>73.247170565444137</v>
      </c>
      <c r="Z97" s="93"/>
    </row>
    <row r="98" spans="1:31" x14ac:dyDescent="0.3">
      <c r="A98" s="106"/>
      <c r="B98" s="326"/>
      <c r="C98" s="134" t="s">
        <v>51</v>
      </c>
      <c r="D98" s="251">
        <f t="shared" ref="D98:E114" si="46">(P78*$D$53)/1000</f>
        <v>8.7914870796582615E-3</v>
      </c>
      <c r="E98" s="168">
        <f t="shared" si="44"/>
        <v>2.6727379239106223E-2</v>
      </c>
      <c r="F98" s="168">
        <f>(R78*$D$53)/1000</f>
        <v>7.7590866411780549E-2</v>
      </c>
      <c r="G98" s="168">
        <f>(S78*$D$53)/1000</f>
        <v>0.1190310302816435</v>
      </c>
      <c r="H98" s="168">
        <f t="shared" si="44"/>
        <v>8.7244115903998588E-3</v>
      </c>
      <c r="I98" s="168">
        <f t="shared" si="44"/>
        <v>2.7120235122407067E-2</v>
      </c>
      <c r="J98" s="168">
        <f>(V78*$D$53)/1000</f>
        <v>7.2925921173906089E-2</v>
      </c>
      <c r="K98" s="168">
        <f>(W78*$D$53)/1000</f>
        <v>0.1084925551280171</v>
      </c>
      <c r="L98" s="168">
        <f>(X78*$D$53)/1000</f>
        <v>0.13230962754657338</v>
      </c>
      <c r="M98" s="169">
        <f>(Y78*$D$53)/1000</f>
        <v>0.18557052633043655</v>
      </c>
      <c r="N98" s="134"/>
      <c r="O98" s="136"/>
      <c r="P98" s="158">
        <f t="shared" si="45"/>
        <v>3.2088927840752652</v>
      </c>
      <c r="Q98" s="159">
        <f t="shared" si="45"/>
        <v>9.755493422273771</v>
      </c>
      <c r="R98" s="159">
        <f t="shared" si="45"/>
        <v>28.3206662402999</v>
      </c>
      <c r="S98" s="159">
        <f t="shared" si="45"/>
        <v>43.446326052799876</v>
      </c>
      <c r="T98" s="159">
        <f t="shared" si="45"/>
        <v>3.1844102304959483</v>
      </c>
      <c r="U98" s="159">
        <f t="shared" si="45"/>
        <v>9.8988858196785792</v>
      </c>
      <c r="V98" s="159">
        <f t="shared" si="45"/>
        <v>26.617961228475721</v>
      </c>
      <c r="W98" s="159">
        <f t="shared" si="45"/>
        <v>39.599782621726241</v>
      </c>
      <c r="X98" s="159">
        <f t="shared" si="45"/>
        <v>48.293014054499288</v>
      </c>
      <c r="Y98" s="160">
        <f t="shared" si="45"/>
        <v>67.733242110609339</v>
      </c>
      <c r="Z98" s="93"/>
      <c r="AA98" s="4">
        <v>36.43</v>
      </c>
      <c r="AB98">
        <v>25.4</v>
      </c>
      <c r="AC98" s="4"/>
      <c r="AD98" s="4"/>
      <c r="AE98" s="4"/>
    </row>
    <row r="99" spans="1:31" ht="14.55" customHeight="1" x14ac:dyDescent="0.3">
      <c r="A99" s="23"/>
      <c r="B99" s="326"/>
      <c r="C99" s="134" t="s">
        <v>232</v>
      </c>
      <c r="D99" s="251">
        <f t="shared" si="46"/>
        <v>3.0875558850728107E-2</v>
      </c>
      <c r="E99" s="168">
        <f t="shared" si="44"/>
        <v>5.301012742973283E-2</v>
      </c>
      <c r="F99" s="168">
        <f t="shared" si="44"/>
        <v>0.12792340828528367</v>
      </c>
      <c r="G99" s="70"/>
      <c r="H99" s="168">
        <f t="shared" si="44"/>
        <v>2.6268300016463332E-2</v>
      </c>
      <c r="I99" s="168">
        <f t="shared" si="44"/>
        <v>4.6732484338763612E-2</v>
      </c>
      <c r="J99" s="168">
        <f t="shared" si="44"/>
        <v>0.12792340828528367</v>
      </c>
      <c r="K99" s="70"/>
      <c r="L99" s="70"/>
      <c r="M99" s="170"/>
      <c r="N99" s="134"/>
      <c r="O99" s="136"/>
      <c r="P99" s="158">
        <f t="shared" ref="P99:P112" si="47">D99*365</f>
        <v>11.269578980515758</v>
      </c>
      <c r="Q99" s="159">
        <f t="shared" ref="Q99:Q112" si="48">E99*365</f>
        <v>19.348696511852484</v>
      </c>
      <c r="R99" s="159">
        <f t="shared" ref="R99:R112" si="49">F99*365</f>
        <v>46.692044024128542</v>
      </c>
      <c r="S99" s="28"/>
      <c r="T99" s="159">
        <f t="shared" ref="T99:T112" si="50">H99*365</f>
        <v>9.5879295060091163</v>
      </c>
      <c r="U99" s="159">
        <f t="shared" ref="U99:U112" si="51">I99*365</f>
        <v>17.057356783648718</v>
      </c>
      <c r="V99" s="159">
        <f t="shared" ref="V99:V112" si="52">J99*365</f>
        <v>46.692044024128542</v>
      </c>
      <c r="W99" s="28"/>
      <c r="X99" s="28"/>
      <c r="Y99" s="109"/>
      <c r="Z99" s="93"/>
      <c r="AA99" s="4">
        <v>14.37</v>
      </c>
      <c r="AB99">
        <v>8.8000000000000007</v>
      </c>
      <c r="AC99" s="4"/>
      <c r="AD99" s="4"/>
      <c r="AE99" s="4"/>
    </row>
    <row r="100" spans="1:31" x14ac:dyDescent="0.3">
      <c r="A100" s="327" t="s">
        <v>119</v>
      </c>
      <c r="B100" s="326"/>
      <c r="C100" s="134" t="s">
        <v>205</v>
      </c>
      <c r="D100" s="251">
        <f t="shared" si="46"/>
        <v>4.6935230665874211E-2</v>
      </c>
      <c r="E100" s="168">
        <f t="shared" si="44"/>
        <v>5.0919863726083377E-2</v>
      </c>
      <c r="F100" s="168">
        <f t="shared" si="44"/>
        <v>0.17413260549895235</v>
      </c>
      <c r="G100" s="70"/>
      <c r="H100" s="168">
        <f t="shared" si="44"/>
        <v>4.544893880046455E-2</v>
      </c>
      <c r="I100" s="168">
        <f t="shared" si="44"/>
        <v>4.9646343316707059E-2</v>
      </c>
      <c r="J100" s="168">
        <f>(V80*$D$53)/1000</f>
        <v>0.17413260549895235</v>
      </c>
      <c r="K100" s="70"/>
      <c r="L100" s="70"/>
      <c r="M100" s="170"/>
      <c r="N100" s="134"/>
      <c r="O100" s="136"/>
      <c r="P100" s="158">
        <f t="shared" si="47"/>
        <v>17.131359193044087</v>
      </c>
      <c r="Q100" s="159">
        <f t="shared" si="48"/>
        <v>18.585750260020433</v>
      </c>
      <c r="R100" s="159">
        <f t="shared" si="49"/>
        <v>63.55840100711761</v>
      </c>
      <c r="S100" s="28"/>
      <c r="T100" s="159">
        <f t="shared" si="50"/>
        <v>16.588862662169561</v>
      </c>
      <c r="U100" s="159">
        <f t="shared" si="51"/>
        <v>18.120915310598075</v>
      </c>
      <c r="V100" s="159">
        <f t="shared" si="52"/>
        <v>63.55840100711761</v>
      </c>
      <c r="W100" s="28"/>
      <c r="X100" s="28"/>
      <c r="Y100" s="109"/>
      <c r="Z100" s="93"/>
      <c r="AA100" s="4"/>
      <c r="AC100" s="4"/>
      <c r="AD100" s="4"/>
      <c r="AE100" s="4"/>
    </row>
    <row r="101" spans="1:31" x14ac:dyDescent="0.3">
      <c r="A101" s="327"/>
      <c r="B101" s="326"/>
      <c r="C101" s="134" t="s">
        <v>48</v>
      </c>
      <c r="D101" s="251">
        <f t="shared" si="46"/>
        <v>1.379005365814066E-2</v>
      </c>
      <c r="E101" s="168">
        <f t="shared" si="44"/>
        <v>3.3818883443154014E-2</v>
      </c>
      <c r="F101" s="168">
        <f t="shared" si="44"/>
        <v>8.4166051099845776E-2</v>
      </c>
      <c r="G101" s="168">
        <f t="shared" si="44"/>
        <v>0.15105900192018462</v>
      </c>
      <c r="H101" s="168">
        <f t="shared" si="44"/>
        <v>1.379005365814066E-2</v>
      </c>
      <c r="I101" s="168">
        <f t="shared" si="44"/>
        <v>3.3818883443154014E-2</v>
      </c>
      <c r="J101" s="168">
        <f t="shared" si="44"/>
        <v>8.4166051099845776E-2</v>
      </c>
      <c r="K101" s="168">
        <f t="shared" si="44"/>
        <v>0.15388537142122741</v>
      </c>
      <c r="L101" s="168">
        <f t="shared" si="44"/>
        <v>9.0684126745404228E-2</v>
      </c>
      <c r="M101" s="170"/>
      <c r="N101" s="134"/>
      <c r="O101" s="136"/>
      <c r="P101" s="158">
        <f t="shared" si="47"/>
        <v>5.0333695852213411</v>
      </c>
      <c r="Q101" s="159">
        <f t="shared" si="48"/>
        <v>12.343892456751215</v>
      </c>
      <c r="R101" s="159">
        <f t="shared" si="49"/>
        <v>30.720608651443708</v>
      </c>
      <c r="S101" s="159">
        <f t="shared" ref="S101:S107" si="53">G101*365</f>
        <v>55.136535700867384</v>
      </c>
      <c r="T101" s="159">
        <f t="shared" si="50"/>
        <v>5.0333695852213411</v>
      </c>
      <c r="U101" s="159">
        <f t="shared" si="51"/>
        <v>12.343892456751215</v>
      </c>
      <c r="V101" s="159">
        <f t="shared" si="52"/>
        <v>30.720608651443708</v>
      </c>
      <c r="W101" s="159">
        <f t="shared" ref="W101:X106" si="54">K101*365</f>
        <v>56.168160568748</v>
      </c>
      <c r="X101" s="159">
        <f t="shared" si="54"/>
        <v>33.099706262072544</v>
      </c>
      <c r="Y101" s="109"/>
      <c r="Z101" s="93"/>
      <c r="AA101" s="4"/>
      <c r="AC101" s="4"/>
      <c r="AD101" s="4"/>
      <c r="AE101" s="4"/>
    </row>
    <row r="102" spans="1:31" x14ac:dyDescent="0.3">
      <c r="A102" s="327"/>
      <c r="B102" s="110"/>
      <c r="C102" s="131" t="s">
        <v>17</v>
      </c>
      <c r="D102" s="250">
        <f t="shared" si="46"/>
        <v>1.9747181284394188E-2</v>
      </c>
      <c r="E102" s="166">
        <f t="shared" si="44"/>
        <v>3.7395175520593876E-2</v>
      </c>
      <c r="F102" s="166">
        <f t="shared" si="44"/>
        <v>6.3075078912499125E-2</v>
      </c>
      <c r="G102" s="166">
        <f t="shared" si="44"/>
        <v>9.4558255919344053E-2</v>
      </c>
      <c r="H102" s="166">
        <f t="shared" si="44"/>
        <v>1.9298450850180393E-2</v>
      </c>
      <c r="I102" s="166">
        <f t="shared" si="44"/>
        <v>3.7778327321950321E-2</v>
      </c>
      <c r="J102" s="166">
        <f t="shared" si="44"/>
        <v>6.6356907678716326E-2</v>
      </c>
      <c r="K102" s="166">
        <f t="shared" si="44"/>
        <v>8.8666289586745481E-2</v>
      </c>
      <c r="L102" s="166">
        <f t="shared" si="44"/>
        <v>0.11148977988995273</v>
      </c>
      <c r="M102" s="167">
        <f t="shared" si="44"/>
        <v>0.14993754863143033</v>
      </c>
      <c r="N102" s="134"/>
      <c r="O102" s="136"/>
      <c r="P102" s="155">
        <f t="shared" si="47"/>
        <v>7.2077211688038787</v>
      </c>
      <c r="Q102" s="156">
        <f t="shared" si="48"/>
        <v>13.649239065016765</v>
      </c>
      <c r="R102" s="156">
        <f t="shared" si="49"/>
        <v>23.022403803062179</v>
      </c>
      <c r="S102" s="156">
        <f t="shared" si="53"/>
        <v>34.513763410560578</v>
      </c>
      <c r="T102" s="156">
        <f t="shared" si="50"/>
        <v>7.0439345603158436</v>
      </c>
      <c r="U102" s="156">
        <f t="shared" si="51"/>
        <v>13.789089472511867</v>
      </c>
      <c r="V102" s="156">
        <f t="shared" si="52"/>
        <v>24.220271302731458</v>
      </c>
      <c r="W102" s="156">
        <f t="shared" si="54"/>
        <v>32.363195699162098</v>
      </c>
      <c r="X102" s="156">
        <f t="shared" si="54"/>
        <v>40.693769659832746</v>
      </c>
      <c r="Y102" s="157">
        <f>M102*365</f>
        <v>54.727205250472068</v>
      </c>
      <c r="Z102" s="93"/>
      <c r="AA102" s="4">
        <v>5.19</v>
      </c>
      <c r="AC102" s="4"/>
      <c r="AD102" s="4"/>
      <c r="AE102" s="4"/>
    </row>
    <row r="103" spans="1:31" ht="14.55" customHeight="1" x14ac:dyDescent="0.3">
      <c r="A103" s="327"/>
      <c r="B103" s="23"/>
      <c r="C103" s="137" t="s">
        <v>29</v>
      </c>
      <c r="D103" s="252">
        <f t="shared" si="46"/>
        <v>1.6127193716227829E-2</v>
      </c>
      <c r="E103" s="171">
        <f t="shared" si="44"/>
        <v>7.5592649765298101E-2</v>
      </c>
      <c r="F103" s="171">
        <f t="shared" si="44"/>
        <v>6.1862284403340198E-2</v>
      </c>
      <c r="G103" s="171">
        <f t="shared" si="44"/>
        <v>9.4182733563252047E-2</v>
      </c>
      <c r="H103" s="171">
        <f t="shared" si="44"/>
        <v>1.4777508343536963E-2</v>
      </c>
      <c r="I103" s="171">
        <f t="shared" si="44"/>
        <v>7.8107331602880012E-2</v>
      </c>
      <c r="J103" s="171">
        <f t="shared" si="44"/>
        <v>6.7338594844059838E-2</v>
      </c>
      <c r="K103" s="171">
        <f t="shared" si="44"/>
        <v>9.5239006632332632E-2</v>
      </c>
      <c r="L103" s="171">
        <f t="shared" si="44"/>
        <v>0.13777220344999891</v>
      </c>
      <c r="M103" s="172">
        <f t="shared" si="44"/>
        <v>0.18778854113973528</v>
      </c>
      <c r="N103" s="134"/>
      <c r="O103" s="136"/>
      <c r="P103" s="161">
        <f t="shared" si="47"/>
        <v>5.8864257064231573</v>
      </c>
      <c r="Q103" s="162">
        <f t="shared" si="48"/>
        <v>27.591317164333805</v>
      </c>
      <c r="R103" s="162">
        <f t="shared" si="49"/>
        <v>22.579733807219171</v>
      </c>
      <c r="S103" s="162">
        <f t="shared" si="53"/>
        <v>34.376697750586999</v>
      </c>
      <c r="T103" s="162">
        <f t="shared" si="50"/>
        <v>5.3937905453909911</v>
      </c>
      <c r="U103" s="162">
        <f t="shared" si="51"/>
        <v>28.509176035051205</v>
      </c>
      <c r="V103" s="162">
        <f t="shared" si="52"/>
        <v>24.578587118081842</v>
      </c>
      <c r="W103" s="162">
        <f t="shared" si="54"/>
        <v>34.762237420801412</v>
      </c>
      <c r="X103" s="162">
        <f t="shared" si="54"/>
        <v>50.286854259249601</v>
      </c>
      <c r="Y103" s="163">
        <f>M103*365</f>
        <v>68.542817516003382</v>
      </c>
      <c r="Z103" s="93"/>
      <c r="AA103" s="4"/>
      <c r="AC103" s="4"/>
      <c r="AD103" s="4"/>
      <c r="AE103" s="4"/>
    </row>
    <row r="104" spans="1:31" x14ac:dyDescent="0.3">
      <c r="A104" s="327"/>
      <c r="B104" s="326" t="s">
        <v>120</v>
      </c>
      <c r="C104" s="131" t="s">
        <v>201</v>
      </c>
      <c r="D104" s="250">
        <f t="shared" si="46"/>
        <v>1.3977339566697722E-2</v>
      </c>
      <c r="E104" s="166">
        <f t="shared" si="44"/>
        <v>2.0604047139860533E-2</v>
      </c>
      <c r="F104" s="166">
        <f t="shared" si="44"/>
        <v>2.3295615067323673E-2</v>
      </c>
      <c r="G104" s="166">
        <f t="shared" si="44"/>
        <v>1.8783340700448445E-2</v>
      </c>
      <c r="H104" s="166">
        <f t="shared" si="44"/>
        <v>1.3977339566697722E-2</v>
      </c>
      <c r="I104" s="166">
        <f t="shared" si="44"/>
        <v>1.8239055891381615E-2</v>
      </c>
      <c r="J104" s="166">
        <f t="shared" si="44"/>
        <v>2.3295615067323673E-2</v>
      </c>
      <c r="K104" s="166">
        <f t="shared" si="44"/>
        <v>1.8783340700448445E-2</v>
      </c>
      <c r="L104" s="166">
        <f t="shared" si="44"/>
        <v>2.686657963920076E-2</v>
      </c>
      <c r="M104" s="167">
        <f t="shared" si="44"/>
        <v>5.8085533015429812E-2</v>
      </c>
      <c r="N104" s="134"/>
      <c r="O104" s="136"/>
      <c r="P104" s="155">
        <f t="shared" si="47"/>
        <v>5.1017289418446685</v>
      </c>
      <c r="Q104" s="156">
        <f t="shared" si="48"/>
        <v>7.5204772060490948</v>
      </c>
      <c r="R104" s="156">
        <f t="shared" si="49"/>
        <v>8.5028994995731413</v>
      </c>
      <c r="S104" s="156">
        <f t="shared" si="53"/>
        <v>6.8559193556636826</v>
      </c>
      <c r="T104" s="156">
        <f t="shared" si="50"/>
        <v>5.1017289418446685</v>
      </c>
      <c r="U104" s="156">
        <f t="shared" si="51"/>
        <v>6.6572554003542894</v>
      </c>
      <c r="V104" s="156">
        <f t="shared" si="52"/>
        <v>8.5028994995731413</v>
      </c>
      <c r="W104" s="156">
        <f t="shared" si="54"/>
        <v>6.8559193556636826</v>
      </c>
      <c r="X104" s="156">
        <f t="shared" si="54"/>
        <v>9.8063015683082781</v>
      </c>
      <c r="Y104" s="157">
        <f>M104*365</f>
        <v>21.20121955063188</v>
      </c>
      <c r="Z104" s="93"/>
      <c r="AA104" s="4"/>
      <c r="AC104" s="4">
        <v>12.68</v>
      </c>
      <c r="AD104" s="4"/>
      <c r="AE104" s="4"/>
    </row>
    <row r="105" spans="1:31" x14ac:dyDescent="0.3">
      <c r="A105" s="327"/>
      <c r="B105" s="326"/>
      <c r="C105" s="134" t="s">
        <v>27</v>
      </c>
      <c r="D105" s="251">
        <f t="shared" si="46"/>
        <v>2.1950372526953445E-2</v>
      </c>
      <c r="E105" s="168">
        <f t="shared" si="44"/>
        <v>4.3226733538419763E-2</v>
      </c>
      <c r="F105" s="168">
        <f t="shared" si="44"/>
        <v>6.2348973549297797E-2</v>
      </c>
      <c r="G105" s="168">
        <f t="shared" si="44"/>
        <v>9.0190577783702125E-2</v>
      </c>
      <c r="H105" s="168">
        <f t="shared" si="44"/>
        <v>1.9804757848437618E-2</v>
      </c>
      <c r="I105" s="168">
        <f t="shared" si="44"/>
        <v>3.7498513575723515E-2</v>
      </c>
      <c r="J105" s="168">
        <f t="shared" si="44"/>
        <v>6.8014920209636773E-2</v>
      </c>
      <c r="K105" s="168">
        <f t="shared" si="44"/>
        <v>9.0190577783702125E-2</v>
      </c>
      <c r="L105" s="168">
        <f t="shared" si="44"/>
        <v>0.12772473817234317</v>
      </c>
      <c r="M105" s="170"/>
      <c r="N105" s="134"/>
      <c r="O105" s="136"/>
      <c r="P105" s="158">
        <f t="shared" si="47"/>
        <v>8.0118859723380069</v>
      </c>
      <c r="Q105" s="159">
        <f t="shared" si="48"/>
        <v>15.777757741523214</v>
      </c>
      <c r="R105" s="159">
        <f t="shared" si="49"/>
        <v>22.757375345493696</v>
      </c>
      <c r="S105" s="159">
        <f t="shared" si="53"/>
        <v>32.919560891051276</v>
      </c>
      <c r="T105" s="159">
        <f t="shared" si="50"/>
        <v>7.2287366146797307</v>
      </c>
      <c r="U105" s="159">
        <f t="shared" si="51"/>
        <v>13.686957455139083</v>
      </c>
      <c r="V105" s="159">
        <f t="shared" si="52"/>
        <v>24.825445876517421</v>
      </c>
      <c r="W105" s="159">
        <f t="shared" si="54"/>
        <v>32.919560891051276</v>
      </c>
      <c r="X105" s="159">
        <f t="shared" si="54"/>
        <v>46.61952943290526</v>
      </c>
      <c r="Y105" s="109"/>
      <c r="Z105" s="93"/>
      <c r="AA105" s="4">
        <v>7.02</v>
      </c>
      <c r="AC105" s="4"/>
      <c r="AD105" s="4"/>
      <c r="AE105" s="4"/>
    </row>
    <row r="106" spans="1:31" x14ac:dyDescent="0.3">
      <c r="A106" s="106"/>
      <c r="B106" s="326"/>
      <c r="C106" s="134" t="s">
        <v>202</v>
      </c>
      <c r="D106" s="251">
        <f t="shared" si="46"/>
        <v>2.8339739698449464E-2</v>
      </c>
      <c r="E106" s="168">
        <f t="shared" si="44"/>
        <v>8.1427924879762748E-2</v>
      </c>
      <c r="F106" s="168">
        <f t="shared" si="44"/>
        <v>0.11311444866480042</v>
      </c>
      <c r="G106" s="168">
        <f t="shared" si="44"/>
        <v>0.17464496495776666</v>
      </c>
      <c r="H106" s="168">
        <f t="shared" si="44"/>
        <v>3.8481375764243798E-2</v>
      </c>
      <c r="I106" s="168">
        <f t="shared" si="44"/>
        <v>7.4496160127189973E-2</v>
      </c>
      <c r="J106" s="168">
        <f t="shared" si="44"/>
        <v>0.11413903883549596</v>
      </c>
      <c r="K106" s="168">
        <f t="shared" si="44"/>
        <v>0.16732507804104707</v>
      </c>
      <c r="L106" s="168">
        <f t="shared" si="44"/>
        <v>0.23933189556200443</v>
      </c>
      <c r="M106" s="169">
        <f t="shared" si="44"/>
        <v>0.51743544984149537</v>
      </c>
      <c r="N106" s="134"/>
      <c r="O106" s="136"/>
      <c r="P106" s="158">
        <f t="shared" si="47"/>
        <v>10.344004989934055</v>
      </c>
      <c r="Q106" s="159">
        <f t="shared" si="48"/>
        <v>29.721192581113403</v>
      </c>
      <c r="R106" s="159">
        <f t="shared" si="49"/>
        <v>41.286773762652153</v>
      </c>
      <c r="S106" s="159">
        <f t="shared" si="53"/>
        <v>63.745412209584828</v>
      </c>
      <c r="T106" s="159">
        <f t="shared" si="50"/>
        <v>14.045702153948987</v>
      </c>
      <c r="U106" s="159">
        <f t="shared" si="51"/>
        <v>27.191098446424341</v>
      </c>
      <c r="V106" s="159">
        <f t="shared" si="52"/>
        <v>41.660749174956024</v>
      </c>
      <c r="W106" s="159">
        <f t="shared" si="54"/>
        <v>61.073653484982181</v>
      </c>
      <c r="X106" s="159">
        <f t="shared" si="54"/>
        <v>87.356141880131617</v>
      </c>
      <c r="Y106" s="160">
        <f>M106*365</f>
        <v>188.86393919214581</v>
      </c>
      <c r="Z106" s="93"/>
      <c r="AA106" s="4"/>
      <c r="AC106" s="4"/>
      <c r="AD106" s="4"/>
      <c r="AE106" s="4"/>
    </row>
    <row r="107" spans="1:31" x14ac:dyDescent="0.3">
      <c r="A107" s="106"/>
      <c r="B107" s="326"/>
      <c r="C107" s="134" t="s">
        <v>233</v>
      </c>
      <c r="D107" s="251">
        <f t="shared" si="46"/>
        <v>1.711896381122149E-2</v>
      </c>
      <c r="E107" s="168">
        <f t="shared" si="44"/>
        <v>5.74134983451021E-2</v>
      </c>
      <c r="F107" s="168">
        <f t="shared" si="44"/>
        <v>0.10453010384251193</v>
      </c>
      <c r="G107" s="168">
        <f t="shared" si="44"/>
        <v>0.10502981905179053</v>
      </c>
      <c r="H107" s="168">
        <f t="shared" si="44"/>
        <v>1.4441615378447747E-2</v>
      </c>
      <c r="I107" s="168">
        <f t="shared" si="44"/>
        <v>4.8756848946486089E-2</v>
      </c>
      <c r="J107" s="168">
        <f t="shared" si="44"/>
        <v>9.1757391388465573E-2</v>
      </c>
      <c r="K107" s="168">
        <f t="shared" si="44"/>
        <v>8.4598529838547709E-2</v>
      </c>
      <c r="L107" s="70"/>
      <c r="M107" s="170"/>
      <c r="N107" s="134"/>
      <c r="O107" s="136"/>
      <c r="P107" s="158">
        <f t="shared" si="47"/>
        <v>6.2484217910958435</v>
      </c>
      <c r="Q107" s="159">
        <f t="shared" si="48"/>
        <v>20.955926895962268</v>
      </c>
      <c r="R107" s="159">
        <f t="shared" si="49"/>
        <v>38.153487902516858</v>
      </c>
      <c r="S107" s="159">
        <f t="shared" si="53"/>
        <v>38.33588395390354</v>
      </c>
      <c r="T107" s="159">
        <f t="shared" si="50"/>
        <v>5.2711896131334273</v>
      </c>
      <c r="U107" s="159">
        <f t="shared" si="51"/>
        <v>17.796249865467423</v>
      </c>
      <c r="V107" s="159">
        <f t="shared" si="52"/>
        <v>33.491447856789932</v>
      </c>
      <c r="W107" s="159">
        <f>K107*365</f>
        <v>30.878463391069914</v>
      </c>
      <c r="X107" s="28"/>
      <c r="Y107" s="109"/>
      <c r="Z107" s="93"/>
      <c r="AA107" s="4">
        <v>11.38</v>
      </c>
      <c r="AC107" s="4"/>
      <c r="AD107" s="4"/>
      <c r="AE107" s="4"/>
    </row>
    <row r="108" spans="1:31" x14ac:dyDescent="0.3">
      <c r="A108" s="106"/>
      <c r="B108" s="326"/>
      <c r="C108" s="134" t="s">
        <v>122</v>
      </c>
      <c r="D108" s="251">
        <f t="shared" si="46"/>
        <v>2.2903956948338692E-2</v>
      </c>
      <c r="E108" s="168">
        <f t="shared" si="44"/>
        <v>4.7847137642537549E-2</v>
      </c>
      <c r="F108" s="168">
        <f t="shared" si="44"/>
        <v>5.3053877396787054E-2</v>
      </c>
      <c r="G108" s="70"/>
      <c r="H108" s="168">
        <f t="shared" si="44"/>
        <v>2.2903956948338692E-2</v>
      </c>
      <c r="I108" s="168">
        <f t="shared" si="44"/>
        <v>4.7847137642537549E-2</v>
      </c>
      <c r="J108" s="168">
        <f t="shared" si="44"/>
        <v>5.3053877396787054E-2</v>
      </c>
      <c r="K108" s="70"/>
      <c r="L108" s="70"/>
      <c r="M108" s="170"/>
      <c r="N108" s="134"/>
      <c r="O108" s="136"/>
      <c r="P108" s="158">
        <f t="shared" si="47"/>
        <v>8.3599442861436231</v>
      </c>
      <c r="Q108" s="159">
        <f t="shared" si="48"/>
        <v>17.464205239526205</v>
      </c>
      <c r="R108" s="159">
        <f t="shared" si="49"/>
        <v>19.364665249827276</v>
      </c>
      <c r="S108" s="28"/>
      <c r="T108" s="159">
        <f t="shared" si="50"/>
        <v>8.3599442861436231</v>
      </c>
      <c r="U108" s="159">
        <f t="shared" si="51"/>
        <v>17.464205239526205</v>
      </c>
      <c r="V108" s="159">
        <f t="shared" si="52"/>
        <v>19.364665249827276</v>
      </c>
      <c r="W108" s="28"/>
      <c r="X108" s="28"/>
      <c r="Y108" s="109"/>
      <c r="Z108" s="93"/>
      <c r="AA108" s="4"/>
      <c r="AC108" s="4"/>
      <c r="AD108" s="4"/>
      <c r="AE108" s="4"/>
    </row>
    <row r="109" spans="1:31" x14ac:dyDescent="0.3">
      <c r="A109" s="106"/>
      <c r="B109" s="326"/>
      <c r="C109" s="134" t="s">
        <v>234</v>
      </c>
      <c r="D109" s="251">
        <f t="shared" si="46"/>
        <v>2.4681227449520358E-2</v>
      </c>
      <c r="E109" s="168">
        <f t="shared" si="44"/>
        <v>5.7406654187127336E-2</v>
      </c>
      <c r="F109" s="168">
        <f t="shared" si="44"/>
        <v>7.8508631608901439E-2</v>
      </c>
      <c r="G109" s="168">
        <f t="shared" si="44"/>
        <v>8.0146021434992248E-2</v>
      </c>
      <c r="H109" s="168">
        <f t="shared" si="44"/>
        <v>2.4787002321094615E-2</v>
      </c>
      <c r="I109" s="168">
        <f t="shared" si="44"/>
        <v>5.751064435638388E-2</v>
      </c>
      <c r="J109" s="168">
        <f t="shared" si="44"/>
        <v>7.6948308501816942E-2</v>
      </c>
      <c r="K109" s="168">
        <f t="shared" si="44"/>
        <v>7.8455675333354818E-2</v>
      </c>
      <c r="L109" s="70"/>
      <c r="M109" s="170"/>
      <c r="N109" s="134"/>
      <c r="O109" s="136"/>
      <c r="P109" s="158">
        <f t="shared" si="47"/>
        <v>9.008648019074931</v>
      </c>
      <c r="Q109" s="159">
        <f t="shared" si="48"/>
        <v>20.953428778301479</v>
      </c>
      <c r="R109" s="159">
        <f t="shared" si="49"/>
        <v>28.655650537249024</v>
      </c>
      <c r="S109" s="159">
        <f>G109*365</f>
        <v>29.253297823772172</v>
      </c>
      <c r="T109" s="159">
        <f t="shared" si="50"/>
        <v>9.0472558471995352</v>
      </c>
      <c r="U109" s="159">
        <f t="shared" si="51"/>
        <v>20.991385190080116</v>
      </c>
      <c r="V109" s="159">
        <f t="shared" si="52"/>
        <v>28.086132603163183</v>
      </c>
      <c r="W109" s="159">
        <f>K109*365</f>
        <v>28.636321496674508</v>
      </c>
      <c r="X109" s="28"/>
      <c r="Y109" s="109"/>
      <c r="Z109" s="93"/>
      <c r="AA109" s="4"/>
      <c r="AC109" s="4"/>
      <c r="AD109" s="4"/>
      <c r="AE109" s="4"/>
    </row>
    <row r="110" spans="1:31" x14ac:dyDescent="0.3">
      <c r="A110" s="106"/>
      <c r="B110" s="326"/>
      <c r="C110" s="134" t="s">
        <v>229</v>
      </c>
      <c r="D110" s="251">
        <f t="shared" si="46"/>
        <v>1.9495715227695106E-2</v>
      </c>
      <c r="E110" s="168">
        <f t="shared" si="44"/>
        <v>4.7800805391519437E-2</v>
      </c>
      <c r="F110" s="168">
        <f t="shared" si="44"/>
        <v>5.2463702328084304E-2</v>
      </c>
      <c r="G110" s="70"/>
      <c r="H110" s="168">
        <f t="shared" si="44"/>
        <v>1.8063288359999999E-2</v>
      </c>
      <c r="I110" s="168">
        <f t="shared" si="44"/>
        <v>4.6197145287752914E-2</v>
      </c>
      <c r="J110" s="168">
        <f t="shared" si="44"/>
        <v>5.2463702328084304E-2</v>
      </c>
      <c r="K110" s="70"/>
      <c r="L110" s="70"/>
      <c r="M110" s="170"/>
      <c r="N110" s="134"/>
      <c r="O110" s="136"/>
      <c r="P110" s="158">
        <f t="shared" si="47"/>
        <v>7.1159360581087139</v>
      </c>
      <c r="Q110" s="159">
        <f t="shared" si="48"/>
        <v>17.447293967904596</v>
      </c>
      <c r="R110" s="159">
        <f t="shared" si="49"/>
        <v>19.14925134975077</v>
      </c>
      <c r="S110" s="28"/>
      <c r="T110" s="159">
        <f t="shared" si="50"/>
        <v>6.5931002513999992</v>
      </c>
      <c r="U110" s="159">
        <f t="shared" si="51"/>
        <v>16.861958030029815</v>
      </c>
      <c r="V110" s="159">
        <f t="shared" si="52"/>
        <v>19.14925134975077</v>
      </c>
      <c r="W110" s="28"/>
      <c r="X110" s="28"/>
      <c r="Y110" s="109"/>
      <c r="Z110" s="93"/>
      <c r="AA110" s="4"/>
      <c r="AC110" s="4"/>
      <c r="AD110" s="4"/>
      <c r="AE110" s="4"/>
    </row>
    <row r="111" spans="1:31" x14ac:dyDescent="0.3">
      <c r="A111" s="106"/>
      <c r="B111" s="326"/>
      <c r="C111" s="134" t="s">
        <v>227</v>
      </c>
      <c r="D111" s="251">
        <f t="shared" si="46"/>
        <v>8.8274569600838071E-2</v>
      </c>
      <c r="E111" s="168">
        <f t="shared" si="44"/>
        <v>8.0557536935942073E-2</v>
      </c>
      <c r="F111" s="168">
        <f t="shared" si="44"/>
        <v>0.23110589513786395</v>
      </c>
      <c r="G111" s="70"/>
      <c r="H111" s="168">
        <f t="shared" si="44"/>
        <v>8.3406239488715395E-2</v>
      </c>
      <c r="I111" s="168">
        <f t="shared" si="44"/>
        <v>9.5744027313441976E-2</v>
      </c>
      <c r="J111" s="168">
        <f t="shared" si="44"/>
        <v>0.23110589513786395</v>
      </c>
      <c r="K111" s="70"/>
      <c r="L111" s="70"/>
      <c r="M111" s="170"/>
      <c r="N111" s="134"/>
      <c r="O111" s="136"/>
      <c r="P111" s="158">
        <f t="shared" si="47"/>
        <v>32.220217904305898</v>
      </c>
      <c r="Q111" s="159">
        <f t="shared" si="48"/>
        <v>29.403500981618855</v>
      </c>
      <c r="R111" s="159">
        <f t="shared" si="49"/>
        <v>84.353651725320347</v>
      </c>
      <c r="S111" s="28"/>
      <c r="T111" s="159">
        <f t="shared" si="50"/>
        <v>30.443277413381118</v>
      </c>
      <c r="U111" s="159">
        <f t="shared" si="51"/>
        <v>34.946569969406319</v>
      </c>
      <c r="V111" s="159">
        <f t="shared" si="52"/>
        <v>84.353651725320347</v>
      </c>
      <c r="W111" s="28"/>
      <c r="X111" s="28"/>
      <c r="Y111" s="109"/>
      <c r="Z111" s="93"/>
      <c r="AA111" s="4"/>
      <c r="AC111" s="4"/>
      <c r="AD111" s="4"/>
      <c r="AE111" s="4"/>
    </row>
    <row r="112" spans="1:31" x14ac:dyDescent="0.3">
      <c r="A112" s="106"/>
      <c r="B112" s="326"/>
      <c r="C112" s="134" t="s">
        <v>235</v>
      </c>
      <c r="D112" s="251">
        <f t="shared" si="46"/>
        <v>4.7026326156221175E-2</v>
      </c>
      <c r="E112" s="168">
        <f t="shared" si="44"/>
        <v>7.5499516931944982E-2</v>
      </c>
      <c r="F112" s="168">
        <f t="shared" si="44"/>
        <v>0.21737638005871074</v>
      </c>
      <c r="G112" s="70"/>
      <c r="H112" s="168">
        <f t="shared" si="44"/>
        <v>4.4351434968030103E-2</v>
      </c>
      <c r="I112" s="168">
        <f t="shared" si="44"/>
        <v>6.5637423100146128E-2</v>
      </c>
      <c r="J112" s="168">
        <f t="shared" si="44"/>
        <v>0.21912850791451438</v>
      </c>
      <c r="K112" s="70"/>
      <c r="L112" s="70"/>
      <c r="M112" s="170"/>
      <c r="N112" s="134"/>
      <c r="O112" s="136"/>
      <c r="P112" s="158">
        <f t="shared" si="47"/>
        <v>17.164609047020729</v>
      </c>
      <c r="Q112" s="159">
        <f t="shared" si="48"/>
        <v>27.557323680159918</v>
      </c>
      <c r="R112" s="159">
        <f t="shared" si="49"/>
        <v>79.342378721429426</v>
      </c>
      <c r="S112" s="28"/>
      <c r="T112" s="159">
        <f t="shared" si="50"/>
        <v>16.188273763330987</v>
      </c>
      <c r="U112" s="159">
        <f t="shared" si="51"/>
        <v>23.957659431553335</v>
      </c>
      <c r="V112" s="159">
        <f t="shared" si="52"/>
        <v>79.981905388797756</v>
      </c>
      <c r="W112" s="28"/>
      <c r="X112" s="28"/>
      <c r="Y112" s="109"/>
      <c r="Z112" s="93"/>
      <c r="AA112" s="4"/>
      <c r="AC112" s="4"/>
      <c r="AD112" s="4"/>
      <c r="AE112" s="4"/>
    </row>
    <row r="113" spans="1:31" x14ac:dyDescent="0.3">
      <c r="A113" s="106"/>
      <c r="B113" s="326"/>
      <c r="C113" s="134" t="s">
        <v>28</v>
      </c>
      <c r="D113" s="251">
        <f t="shared" si="46"/>
        <v>1.0588789783061971E-2</v>
      </c>
      <c r="E113" s="168">
        <f t="shared" si="46"/>
        <v>3.3586028466536411E-2</v>
      </c>
      <c r="F113" s="70"/>
      <c r="G113" s="70"/>
      <c r="H113" s="168">
        <f t="shared" ref="H113:I114" si="55">(T93*$D$53)/1000</f>
        <v>9.8318430340529131E-3</v>
      </c>
      <c r="I113" s="168">
        <f t="shared" si="55"/>
        <v>3.2019761756562286E-2</v>
      </c>
      <c r="J113" s="70"/>
      <c r="K113" s="70"/>
      <c r="L113" s="70"/>
      <c r="M113" s="170"/>
      <c r="N113" s="134"/>
      <c r="O113" s="136"/>
      <c r="P113" s="158">
        <f>D113*365</f>
        <v>3.8649082708176192</v>
      </c>
      <c r="Q113" s="159">
        <f>E113*365</f>
        <v>12.25890039028579</v>
      </c>
      <c r="R113" s="28"/>
      <c r="S113" s="28"/>
      <c r="T113" s="159">
        <f t="shared" ref="T113:U114" si="56">H113*365</f>
        <v>3.5886227074293133</v>
      </c>
      <c r="U113" s="159">
        <f t="shared" si="56"/>
        <v>11.687213041145235</v>
      </c>
      <c r="V113" s="28"/>
      <c r="W113" s="28"/>
      <c r="X113" s="28"/>
      <c r="Y113" s="109"/>
      <c r="Z113" s="93"/>
      <c r="AA113" s="4">
        <v>8.0399999999999991</v>
      </c>
      <c r="AC113" s="4"/>
      <c r="AD113" s="4"/>
      <c r="AE113" s="4"/>
    </row>
    <row r="114" spans="1:31" ht="15" thickBot="1" x14ac:dyDescent="0.35">
      <c r="A114" s="106"/>
      <c r="B114" s="326"/>
      <c r="C114" s="139" t="s">
        <v>228</v>
      </c>
      <c r="D114" s="253">
        <f t="shared" si="46"/>
        <v>9.0783082147275818E-2</v>
      </c>
      <c r="E114" s="173">
        <f t="shared" si="46"/>
        <v>0.10502964319794736</v>
      </c>
      <c r="F114" s="151"/>
      <c r="G114" s="151"/>
      <c r="H114" s="173">
        <f t="shared" si="55"/>
        <v>8.5368348504182567E-2</v>
      </c>
      <c r="I114" s="173">
        <f t="shared" si="55"/>
        <v>0.11386419778898985</v>
      </c>
      <c r="J114" s="151"/>
      <c r="K114" s="151"/>
      <c r="L114" s="151"/>
      <c r="M114" s="174"/>
      <c r="N114" s="139"/>
      <c r="O114" s="141"/>
      <c r="P114" s="164">
        <f>D114*365</f>
        <v>33.135824983755676</v>
      </c>
      <c r="Q114" s="165">
        <f>E114*365</f>
        <v>38.335819767250783</v>
      </c>
      <c r="R114" s="125"/>
      <c r="S114" s="125"/>
      <c r="T114" s="165">
        <f t="shared" si="56"/>
        <v>31.159447204026637</v>
      </c>
      <c r="U114" s="165">
        <f t="shared" si="56"/>
        <v>41.560432192981295</v>
      </c>
      <c r="V114" s="125"/>
      <c r="W114" s="125"/>
      <c r="X114" s="125"/>
      <c r="Y114" s="126"/>
      <c r="Z114" s="93"/>
      <c r="AA114" s="4"/>
      <c r="AC114" s="4"/>
      <c r="AD114" s="4"/>
      <c r="AE114" s="4"/>
    </row>
    <row r="115" spans="1:31" ht="15" thickBot="1" x14ac:dyDescent="0.35">
      <c r="A115" s="152"/>
      <c r="B115" s="153"/>
      <c r="C115" s="153"/>
      <c r="D115" s="153"/>
      <c r="E115" s="153"/>
      <c r="F115" s="153"/>
      <c r="G115" s="153"/>
      <c r="H115" s="153"/>
      <c r="I115" s="153"/>
      <c r="J115" s="153"/>
      <c r="K115" s="153"/>
      <c r="L115" s="153"/>
      <c r="M115" s="153"/>
      <c r="N115" s="153"/>
      <c r="O115" s="153"/>
      <c r="P115" s="153"/>
      <c r="Q115" s="153"/>
      <c r="R115" s="153"/>
      <c r="S115" s="153"/>
      <c r="T115" s="153"/>
      <c r="U115" s="153"/>
      <c r="V115" s="153"/>
      <c r="W115" s="153"/>
      <c r="X115" s="153"/>
      <c r="Y115" s="153"/>
      <c r="Z115" s="154"/>
      <c r="AA115" t="s">
        <v>279</v>
      </c>
      <c r="AB115" s="4"/>
      <c r="AC115" s="4"/>
      <c r="AD115" s="4"/>
    </row>
  </sheetData>
  <mergeCells count="64">
    <mergeCell ref="AA94:AC94"/>
    <mergeCell ref="P49:S49"/>
    <mergeCell ref="P50:S50"/>
    <mergeCell ref="P51:S51"/>
    <mergeCell ref="P52:S52"/>
    <mergeCell ref="T55:Y55"/>
    <mergeCell ref="N6:U6"/>
    <mergeCell ref="C2:U2"/>
    <mergeCell ref="D3:G3"/>
    <mergeCell ref="N3:U4"/>
    <mergeCell ref="N5:U5"/>
    <mergeCell ref="H3:M3"/>
    <mergeCell ref="N18:U18"/>
    <mergeCell ref="N7:U7"/>
    <mergeCell ref="N8:U8"/>
    <mergeCell ref="N9:U9"/>
    <mergeCell ref="N11:U11"/>
    <mergeCell ref="N12:U12"/>
    <mergeCell ref="N13:U13"/>
    <mergeCell ref="N14:U14"/>
    <mergeCell ref="N10:U10"/>
    <mergeCell ref="N15:U15"/>
    <mergeCell ref="N16:U16"/>
    <mergeCell ref="N17:U17"/>
    <mergeCell ref="N30:U30"/>
    <mergeCell ref="N19:U19"/>
    <mergeCell ref="N20:U20"/>
    <mergeCell ref="N21:U21"/>
    <mergeCell ref="N22:U22"/>
    <mergeCell ref="N23:U23"/>
    <mergeCell ref="N24:U24"/>
    <mergeCell ref="N25:U25"/>
    <mergeCell ref="N26:U26"/>
    <mergeCell ref="N27:U27"/>
    <mergeCell ref="N28:U28"/>
    <mergeCell ref="N29:U29"/>
    <mergeCell ref="A37:A42"/>
    <mergeCell ref="AL38:AR38"/>
    <mergeCell ref="AB39:AH39"/>
    <mergeCell ref="B41:B51"/>
    <mergeCell ref="P42:S42"/>
    <mergeCell ref="P41:S41"/>
    <mergeCell ref="C32:C33"/>
    <mergeCell ref="D32:G32"/>
    <mergeCell ref="B34:B38"/>
    <mergeCell ref="C55:C56"/>
    <mergeCell ref="D55:G55"/>
    <mergeCell ref="H55:M55"/>
    <mergeCell ref="H32:M32"/>
    <mergeCell ref="N55:O56"/>
    <mergeCell ref="P55:S55"/>
    <mergeCell ref="N95:O96"/>
    <mergeCell ref="N75:O76"/>
    <mergeCell ref="O33:Y33"/>
    <mergeCell ref="O34:Y34"/>
    <mergeCell ref="B97:B101"/>
    <mergeCell ref="A100:A105"/>
    <mergeCell ref="B104:B114"/>
    <mergeCell ref="B57:B61"/>
    <mergeCell ref="A60:A65"/>
    <mergeCell ref="B64:B74"/>
    <mergeCell ref="B77:B81"/>
    <mergeCell ref="A80:A85"/>
    <mergeCell ref="B84:B9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5"/>
  <sheetViews>
    <sheetView zoomScale="90" zoomScaleNormal="90" workbookViewId="0"/>
  </sheetViews>
  <sheetFormatPr defaultRowHeight="14.4" x14ac:dyDescent="0.3"/>
  <cols>
    <col min="1" max="1" width="26.77734375" bestFit="1" customWidth="1"/>
    <col min="2" max="2" width="15.77734375" style="122" customWidth="1"/>
    <col min="3" max="4" width="12" style="122" bestFit="1" customWidth="1"/>
    <col min="5" max="5" width="9.21875" style="122"/>
    <col min="6" max="6" width="23.77734375" bestFit="1" customWidth="1"/>
  </cols>
  <sheetData>
    <row r="1" spans="1:6" x14ac:dyDescent="0.3">
      <c r="A1" s="23" t="s">
        <v>245</v>
      </c>
      <c r="B1" s="369" t="s">
        <v>143</v>
      </c>
      <c r="C1" s="368" t="s">
        <v>158</v>
      </c>
      <c r="D1" s="368"/>
      <c r="E1" s="368"/>
      <c r="F1" s="23"/>
    </row>
    <row r="2" spans="1:6" x14ac:dyDescent="0.3">
      <c r="A2" s="110" t="s">
        <v>137</v>
      </c>
      <c r="B2" s="369"/>
      <c r="C2" s="78" t="s">
        <v>138</v>
      </c>
      <c r="D2" s="78" t="s">
        <v>139</v>
      </c>
      <c r="E2" s="78" t="s">
        <v>140</v>
      </c>
      <c r="F2" s="110" t="s">
        <v>141</v>
      </c>
    </row>
    <row r="3" spans="1:6" x14ac:dyDescent="0.3">
      <c r="A3" s="136" t="s">
        <v>135</v>
      </c>
      <c r="B3" s="85">
        <v>54</v>
      </c>
      <c r="C3" s="187">
        <v>9.1000000000000004E-3</v>
      </c>
      <c r="D3" s="187">
        <v>3.28</v>
      </c>
      <c r="E3" s="85">
        <v>1</v>
      </c>
      <c r="F3" s="23" t="s">
        <v>130</v>
      </c>
    </row>
    <row r="4" spans="1:6" x14ac:dyDescent="0.3">
      <c r="A4" s="136" t="s">
        <v>136</v>
      </c>
      <c r="B4" s="85">
        <v>35</v>
      </c>
      <c r="C4" s="187">
        <v>1.7687478E-2</v>
      </c>
      <c r="D4" s="187">
        <v>2.9610674459999999</v>
      </c>
      <c r="E4" s="85">
        <v>1</v>
      </c>
      <c r="F4" s="23" t="s">
        <v>130</v>
      </c>
    </row>
    <row r="5" spans="1:6" x14ac:dyDescent="0.3">
      <c r="A5" s="136" t="s">
        <v>107</v>
      </c>
      <c r="B5" s="85">
        <v>75</v>
      </c>
      <c r="C5" s="187">
        <v>1.61E-2</v>
      </c>
      <c r="D5" s="187">
        <v>3.05</v>
      </c>
      <c r="E5" s="85">
        <v>1</v>
      </c>
      <c r="F5" s="23" t="s">
        <v>131</v>
      </c>
    </row>
    <row r="6" spans="1:6" x14ac:dyDescent="0.3">
      <c r="A6" s="136" t="s">
        <v>129</v>
      </c>
      <c r="B6" s="85">
        <v>80</v>
      </c>
      <c r="C6" s="187">
        <v>2.76E-2</v>
      </c>
      <c r="D6" s="187">
        <v>2.92</v>
      </c>
      <c r="E6" s="85">
        <v>1</v>
      </c>
      <c r="F6" s="23" t="s">
        <v>130</v>
      </c>
    </row>
    <row r="7" spans="1:6" x14ac:dyDescent="0.3">
      <c r="A7" s="136"/>
      <c r="B7" s="85"/>
      <c r="C7" s="187"/>
      <c r="D7" s="187"/>
      <c r="E7" s="85"/>
      <c r="F7" s="23"/>
    </row>
    <row r="8" spans="1:6" x14ac:dyDescent="0.3">
      <c r="A8" s="136" t="s">
        <v>108</v>
      </c>
      <c r="B8" s="85">
        <v>40</v>
      </c>
      <c r="C8" s="187">
        <v>1.413E-2</v>
      </c>
      <c r="D8" s="187">
        <v>3.04</v>
      </c>
      <c r="E8" s="85">
        <v>1</v>
      </c>
      <c r="F8" s="23" t="s">
        <v>132</v>
      </c>
    </row>
    <row r="9" spans="1:6" x14ac:dyDescent="0.3">
      <c r="A9" s="136" t="s">
        <v>109</v>
      </c>
      <c r="B9" s="85">
        <v>31</v>
      </c>
      <c r="C9" s="187">
        <v>1.413E-2</v>
      </c>
      <c r="D9" s="187">
        <v>3.04</v>
      </c>
      <c r="E9" s="85">
        <v>1</v>
      </c>
      <c r="F9" s="23" t="s">
        <v>142</v>
      </c>
    </row>
    <row r="10" spans="1:6" x14ac:dyDescent="0.3">
      <c r="A10" s="136" t="s">
        <v>7</v>
      </c>
      <c r="B10" s="85">
        <v>40</v>
      </c>
      <c r="C10" s="187">
        <v>2.011839E-2</v>
      </c>
      <c r="D10" s="187">
        <v>3.059482327</v>
      </c>
      <c r="E10" s="85">
        <v>1</v>
      </c>
      <c r="F10" s="23" t="s">
        <v>130</v>
      </c>
    </row>
    <row r="11" spans="1:6" x14ac:dyDescent="0.3">
      <c r="A11" s="136" t="s">
        <v>8</v>
      </c>
      <c r="B11" s="85">
        <v>70</v>
      </c>
      <c r="C11" s="187">
        <v>2.1733720000000002E-2</v>
      </c>
      <c r="D11" s="187">
        <v>3.0127283170000001</v>
      </c>
      <c r="E11" s="85">
        <v>1</v>
      </c>
      <c r="F11" s="23" t="s">
        <v>131</v>
      </c>
    </row>
    <row r="12" spans="1:6" x14ac:dyDescent="0.3">
      <c r="A12" s="136" t="s">
        <v>69</v>
      </c>
      <c r="B12" s="85">
        <v>30</v>
      </c>
      <c r="C12" s="187">
        <v>1.413E-2</v>
      </c>
      <c r="D12" s="187">
        <v>3.04</v>
      </c>
      <c r="E12" s="85">
        <v>1</v>
      </c>
      <c r="F12" s="23" t="s">
        <v>131</v>
      </c>
    </row>
    <row r="13" spans="1:6" x14ac:dyDescent="0.3">
      <c r="A13" s="136"/>
      <c r="B13" s="85"/>
      <c r="C13" s="187"/>
      <c r="D13" s="187"/>
      <c r="E13" s="85"/>
      <c r="F13" s="23"/>
    </row>
    <row r="14" spans="1:6" x14ac:dyDescent="0.3">
      <c r="A14" s="136" t="s">
        <v>110</v>
      </c>
      <c r="B14" s="85">
        <v>50</v>
      </c>
      <c r="C14" s="187">
        <v>1.4449999999999999E-2</v>
      </c>
      <c r="D14" s="187">
        <v>3.04</v>
      </c>
      <c r="E14" s="85">
        <v>1</v>
      </c>
      <c r="F14" s="23" t="s">
        <v>131</v>
      </c>
    </row>
    <row r="15" spans="1:6" x14ac:dyDescent="0.3">
      <c r="A15" s="136" t="s">
        <v>111</v>
      </c>
      <c r="B15" s="85">
        <v>60</v>
      </c>
      <c r="C15" s="187">
        <v>1.4449999999999999E-2</v>
      </c>
      <c r="D15" s="187">
        <v>3.04</v>
      </c>
      <c r="E15" s="85">
        <v>1</v>
      </c>
      <c r="F15" s="23" t="s">
        <v>131</v>
      </c>
    </row>
    <row r="16" spans="1:6" x14ac:dyDescent="0.3">
      <c r="A16" s="136" t="s">
        <v>43</v>
      </c>
      <c r="B16" s="85">
        <v>41</v>
      </c>
      <c r="C16" s="187">
        <v>1.4449999999999999E-2</v>
      </c>
      <c r="D16" s="187">
        <v>3.04</v>
      </c>
      <c r="E16" s="85">
        <v>1</v>
      </c>
      <c r="F16" s="23" t="s">
        <v>131</v>
      </c>
    </row>
    <row r="17" spans="1:6" x14ac:dyDescent="0.3">
      <c r="A17" s="136" t="s">
        <v>112</v>
      </c>
      <c r="B17" s="85">
        <v>45</v>
      </c>
      <c r="C17" s="187">
        <v>1.04E-2</v>
      </c>
      <c r="D17" s="187">
        <v>3.24</v>
      </c>
      <c r="E17" s="85">
        <v>1</v>
      </c>
      <c r="F17" s="23" t="s">
        <v>130</v>
      </c>
    </row>
    <row r="18" spans="1:6" x14ac:dyDescent="0.3">
      <c r="A18" s="136" t="s">
        <v>27</v>
      </c>
      <c r="B18" s="85">
        <v>47</v>
      </c>
      <c r="C18" s="187">
        <v>1.8890000000000001E-2</v>
      </c>
      <c r="D18" s="187">
        <v>3.06</v>
      </c>
      <c r="E18" s="85">
        <v>1</v>
      </c>
      <c r="F18" s="23" t="s">
        <v>130</v>
      </c>
    </row>
    <row r="19" spans="1:6" x14ac:dyDescent="0.3">
      <c r="A19" s="136" t="s">
        <v>29</v>
      </c>
      <c r="B19" s="85">
        <v>90</v>
      </c>
      <c r="C19" s="187">
        <v>1.5696133000000001E-2</v>
      </c>
      <c r="D19" s="187">
        <v>3.0167379250000002</v>
      </c>
      <c r="E19" s="85">
        <v>1</v>
      </c>
      <c r="F19" s="23" t="s">
        <v>130</v>
      </c>
    </row>
    <row r="20" spans="1:6" x14ac:dyDescent="0.3">
      <c r="A20" s="136" t="s">
        <v>30</v>
      </c>
      <c r="B20" s="85">
        <v>45</v>
      </c>
      <c r="C20" s="187">
        <v>1.6199999999999999E-2</v>
      </c>
      <c r="D20" s="187">
        <v>3.09</v>
      </c>
      <c r="E20" s="85">
        <v>1</v>
      </c>
      <c r="F20" s="23" t="s">
        <v>130</v>
      </c>
    </row>
    <row r="21" spans="1:6" x14ac:dyDescent="0.3">
      <c r="A21" s="136" t="s">
        <v>22</v>
      </c>
      <c r="B21" s="85">
        <v>40</v>
      </c>
      <c r="C21" s="187">
        <v>2.4135631000000001E-2</v>
      </c>
      <c r="D21" s="187">
        <v>3.1477532410000002</v>
      </c>
      <c r="E21" s="85">
        <v>0.79400000000000004</v>
      </c>
      <c r="F21" s="23" t="s">
        <v>130</v>
      </c>
    </row>
    <row r="22" spans="1:6" x14ac:dyDescent="0.3">
      <c r="A22" s="136" t="s">
        <v>133</v>
      </c>
      <c r="B22" s="85">
        <v>70</v>
      </c>
      <c r="C22" s="187">
        <v>7.9399999999999991E-3</v>
      </c>
      <c r="D22" s="187">
        <v>3.11</v>
      </c>
      <c r="E22" s="85">
        <v>1</v>
      </c>
      <c r="F22" s="23" t="s">
        <v>132</v>
      </c>
    </row>
    <row r="23" spans="1:6" x14ac:dyDescent="0.3">
      <c r="A23" s="136" t="s">
        <v>28</v>
      </c>
      <c r="B23" s="85">
        <v>34</v>
      </c>
      <c r="C23" s="187">
        <v>2.2858218E-2</v>
      </c>
      <c r="D23" s="187">
        <v>2.9625899420000001</v>
      </c>
      <c r="E23" s="85">
        <v>1</v>
      </c>
      <c r="F23" s="23" t="s">
        <v>130</v>
      </c>
    </row>
    <row r="24" spans="1:6" x14ac:dyDescent="0.3">
      <c r="A24" s="136" t="s">
        <v>17</v>
      </c>
      <c r="B24" s="85">
        <v>70</v>
      </c>
      <c r="C24" s="187">
        <v>1.14E-2</v>
      </c>
      <c r="D24" s="187">
        <v>3.18</v>
      </c>
      <c r="E24" s="85">
        <v>1</v>
      </c>
      <c r="F24" s="23" t="s">
        <v>130</v>
      </c>
    </row>
    <row r="25" spans="1:6" x14ac:dyDescent="0.3">
      <c r="A25" s="136" t="s">
        <v>134</v>
      </c>
      <c r="B25" s="85">
        <v>51</v>
      </c>
      <c r="C25" s="187">
        <v>1.4449999999999999E-2</v>
      </c>
      <c r="D25" s="187">
        <v>3.04</v>
      </c>
      <c r="E25" s="85">
        <v>1</v>
      </c>
      <c r="F25" s="23" t="s">
        <v>131</v>
      </c>
    </row>
    <row r="26" spans="1:6" x14ac:dyDescent="0.3">
      <c r="A26" s="136" t="s">
        <v>114</v>
      </c>
      <c r="B26" s="85">
        <v>37</v>
      </c>
      <c r="C26" s="187">
        <v>2.7799999999999998E-2</v>
      </c>
      <c r="D26" s="187">
        <v>2.8570000000000002</v>
      </c>
      <c r="E26" s="85">
        <v>1</v>
      </c>
      <c r="F26" s="23" t="s">
        <v>131</v>
      </c>
    </row>
    <row r="27" spans="1:6" x14ac:dyDescent="0.3">
      <c r="A27" s="136" t="s">
        <v>115</v>
      </c>
      <c r="B27" s="85">
        <v>26.6</v>
      </c>
      <c r="C27" s="187">
        <v>2.29E-2</v>
      </c>
      <c r="D27" s="187">
        <v>3.1059999999999999</v>
      </c>
      <c r="E27" s="85">
        <v>0.877</v>
      </c>
      <c r="F27" s="23" t="s">
        <v>130</v>
      </c>
    </row>
    <row r="28" spans="1:6" x14ac:dyDescent="0.3">
      <c r="A28" s="136" t="s">
        <v>116</v>
      </c>
      <c r="B28" s="85">
        <v>45</v>
      </c>
      <c r="C28" s="187">
        <v>1.4449999999999999E-2</v>
      </c>
      <c r="D28" s="187">
        <v>3.04</v>
      </c>
      <c r="E28" s="85">
        <v>1</v>
      </c>
      <c r="F28" s="23" t="s">
        <v>130</v>
      </c>
    </row>
    <row r="31" spans="1:6" x14ac:dyDescent="0.3">
      <c r="A31" s="188" t="s">
        <v>162</v>
      </c>
      <c r="B31"/>
      <c r="C31"/>
    </row>
    <row r="32" spans="1:6" ht="16.2" x14ac:dyDescent="0.3">
      <c r="B32" s="188" t="s">
        <v>161</v>
      </c>
    </row>
    <row r="33" spans="1:6" x14ac:dyDescent="0.3">
      <c r="A33" s="188"/>
      <c r="B33"/>
      <c r="C33"/>
    </row>
    <row r="34" spans="1:6" ht="75" customHeight="1" x14ac:dyDescent="0.3">
      <c r="A34" s="370" t="s">
        <v>163</v>
      </c>
      <c r="B34" s="370"/>
      <c r="C34" s="370"/>
      <c r="D34" s="370"/>
      <c r="E34" s="370"/>
      <c r="F34" s="370"/>
    </row>
    <row r="35" spans="1:6" x14ac:dyDescent="0.3">
      <c r="A35" s="188"/>
    </row>
  </sheetData>
  <sortState xmlns:xlrd2="http://schemas.microsoft.com/office/spreadsheetml/2017/richdata2" ref="A2:G24">
    <sortCondition ref="A2:A24"/>
  </sortState>
  <mergeCells count="3">
    <mergeCell ref="C1:E1"/>
    <mergeCell ref="B1:B2"/>
    <mergeCell ref="A34:F3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Notes</vt:lpstr>
      <vt:lpstr>Bite rates</vt:lpstr>
      <vt:lpstr>Bite areas</vt:lpstr>
      <vt:lpstr>Proportion bites on turf</vt:lpstr>
      <vt:lpstr>Equations</vt:lpstr>
      <vt:lpstr>Biomass length-weight relation</vt:lpstr>
    </vt:vector>
  </TitlesOfParts>
  <Company>University of Exeter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Lange, Ines</dc:creator>
  <cp:lastModifiedBy>Perry, Chris</cp:lastModifiedBy>
  <dcterms:created xsi:type="dcterms:W3CDTF">2018-04-16T14:58:08Z</dcterms:created>
  <dcterms:modified xsi:type="dcterms:W3CDTF">2023-04-21T08:35:28Z</dcterms:modified>
</cp:coreProperties>
</file>